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.pernillo\Desktop\CIV\DIPLAN\Controles\Ejecucion Fisica y Financiera\2022\"/>
    </mc:Choice>
  </mc:AlternateContent>
  <xr:revisionPtr revIDLastSave="0" documentId="13_ncr:1_{279B2B3D-5405-4033-ACD7-EF7516C6B1B2}" xr6:coauthVersionLast="47" xr6:coauthVersionMax="47" xr10:uidLastSave="{00000000-0000-0000-0000-000000000000}"/>
  <bookViews>
    <workbookView xWindow="0" yWindow="0" windowWidth="20490" windowHeight="10920" activeTab="16" xr2:uid="{00000000-000D-0000-FFFF-FFFF00000000}"/>
  </bookViews>
  <sheets>
    <sheet name="Hoja2" sheetId="18" r:id="rId1"/>
    <sheet name="201. DS" sheetId="17" r:id="rId2"/>
    <sheet name="202. DGC" sheetId="2" r:id="rId3"/>
    <sheet name="203. COVIAL" sheetId="3" r:id="rId4"/>
    <sheet name="204. DGT" sheetId="4" r:id="rId5"/>
    <sheet name="205. DGAC" sheetId="5" r:id="rId6"/>
    <sheet name="206. UCEE" sheetId="6" r:id="rId7"/>
    <sheet name="207. DGRTN" sheetId="7" r:id="rId8"/>
    <sheet name="208. UNCOSU" sheetId="8" r:id="rId9"/>
    <sheet name="209. INSIVUMEH" sheetId="9" r:id="rId10"/>
    <sheet name="210. DGCT" sheetId="10" r:id="rId11"/>
    <sheet name="211. SIT" sheetId="11" r:id="rId12"/>
    <sheet name="212. FONDETEL" sheetId="12" r:id="rId13"/>
    <sheet name="214. UDEVIPO" sheetId="13" r:id="rId14"/>
    <sheet name="216. PROVIAL" sheetId="14" r:id="rId15"/>
    <sheet name="217. FSS" sheetId="15" r:id="rId16"/>
    <sheet name="218. FOPAVI" sheetId="16" r:id="rId1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5" i="3" l="1"/>
  <c r="AF53" i="3"/>
  <c r="AF50" i="3"/>
  <c r="AF40" i="3"/>
  <c r="AF36" i="3"/>
  <c r="AF31" i="3"/>
  <c r="AF26" i="3"/>
  <c r="AF18" i="3"/>
  <c r="AF10" i="3"/>
  <c r="AG55" i="3"/>
  <c r="AG53" i="3"/>
  <c r="AG50" i="3"/>
  <c r="AG44" i="3"/>
  <c r="AG40" i="3"/>
  <c r="AG36" i="3"/>
  <c r="AG31" i="3"/>
  <c r="AG26" i="3"/>
  <c r="AG23" i="3"/>
  <c r="AG18" i="3"/>
  <c r="AG15" i="3"/>
  <c r="AG10" i="3"/>
  <c r="N51" i="3"/>
  <c r="N50" i="3"/>
  <c r="N43" i="3"/>
  <c r="N42" i="3"/>
  <c r="N41" i="3"/>
  <c r="N39" i="3"/>
  <c r="N37" i="3"/>
  <c r="N32" i="3"/>
  <c r="N20" i="3"/>
  <c r="N12" i="3"/>
  <c r="N11" i="3"/>
  <c r="O56" i="3"/>
  <c r="O55" i="3"/>
  <c r="O54" i="3"/>
  <c r="O53" i="3"/>
  <c r="O51" i="3"/>
  <c r="O50" i="3"/>
  <c r="O46" i="3"/>
  <c r="O45" i="3"/>
  <c r="O43" i="3"/>
  <c r="O42" i="3"/>
  <c r="O41" i="3"/>
  <c r="O39" i="3"/>
  <c r="O38" i="3"/>
  <c r="O37" i="3"/>
  <c r="O35" i="3"/>
  <c r="O34" i="3"/>
  <c r="O33" i="3"/>
  <c r="O32" i="3"/>
  <c r="O28" i="3"/>
  <c r="O27" i="3"/>
  <c r="O25" i="3"/>
  <c r="O24" i="3"/>
  <c r="O20" i="3"/>
  <c r="O19" i="3"/>
  <c r="O17" i="3"/>
  <c r="O16" i="3"/>
  <c r="O12" i="3"/>
  <c r="O11" i="3"/>
  <c r="AF25" i="5"/>
  <c r="AF22" i="5"/>
  <c r="AF13" i="5"/>
  <c r="AF10" i="5"/>
  <c r="AG31" i="5"/>
  <c r="AG25" i="5"/>
  <c r="AG22" i="5"/>
  <c r="AG13" i="5"/>
  <c r="AG10" i="5"/>
  <c r="N27" i="5"/>
  <c r="N24" i="5"/>
  <c r="N16" i="5"/>
  <c r="N15" i="5"/>
  <c r="N14" i="5"/>
  <c r="O11" i="5"/>
  <c r="O27" i="5"/>
  <c r="O26" i="5"/>
  <c r="O24" i="5"/>
  <c r="O23" i="5"/>
  <c r="O21" i="5"/>
  <c r="O20" i="5"/>
  <c r="O19" i="5"/>
  <c r="O18" i="5"/>
  <c r="O17" i="5"/>
  <c r="O16" i="5"/>
  <c r="O15" i="5"/>
  <c r="O14" i="5"/>
  <c r="O12" i="5"/>
  <c r="AF32" i="9"/>
  <c r="AF21" i="9"/>
  <c r="AF17" i="9"/>
  <c r="AF13" i="9"/>
  <c r="AF10" i="9"/>
  <c r="AG10" i="9"/>
  <c r="AG32" i="9"/>
  <c r="AG29" i="9"/>
  <c r="AG21" i="9"/>
  <c r="AG17" i="9"/>
  <c r="AG13" i="9"/>
  <c r="N14" i="9"/>
  <c r="O25" i="9"/>
  <c r="O24" i="9"/>
  <c r="O23" i="9"/>
  <c r="O22" i="9"/>
  <c r="O20" i="9"/>
  <c r="O19" i="9"/>
  <c r="O18" i="9"/>
  <c r="O16" i="9"/>
  <c r="O15" i="9"/>
  <c r="O14" i="9"/>
  <c r="O12" i="9"/>
  <c r="O11" i="9"/>
  <c r="AF26" i="15"/>
  <c r="AF24" i="15"/>
  <c r="AF21" i="15"/>
  <c r="AF17" i="15"/>
  <c r="AF10" i="15"/>
  <c r="AG26" i="15"/>
  <c r="AG24" i="15"/>
  <c r="AG21" i="15"/>
  <c r="AG17" i="15"/>
  <c r="AG10" i="15"/>
  <c r="N13" i="15"/>
  <c r="N27" i="15"/>
  <c r="N26" i="15"/>
  <c r="N22" i="15"/>
  <c r="N21" i="15"/>
  <c r="N19" i="15"/>
  <c r="N18" i="15"/>
  <c r="O25" i="15"/>
  <c r="O27" i="15"/>
  <c r="O26" i="15"/>
  <c r="O22" i="15"/>
  <c r="O21" i="15"/>
  <c r="O24" i="15"/>
  <c r="O19" i="15"/>
  <c r="O18" i="15"/>
  <c r="O13" i="15"/>
  <c r="O12" i="15"/>
  <c r="O11" i="15"/>
  <c r="AG19" i="11"/>
  <c r="AF10" i="11"/>
  <c r="AG13" i="11"/>
  <c r="AF13" i="11" s="1"/>
  <c r="AG10" i="11"/>
  <c r="O22" i="11"/>
  <c r="O21" i="11"/>
  <c r="O20" i="11"/>
  <c r="O18" i="11"/>
  <c r="O17" i="11"/>
  <c r="O16" i="11"/>
  <c r="O15" i="11"/>
  <c r="O14" i="11"/>
  <c r="O12" i="11"/>
  <c r="O11" i="11"/>
  <c r="O24" i="11"/>
  <c r="O23" i="11"/>
  <c r="O23" i="6"/>
  <c r="AF21" i="6"/>
  <c r="AG24" i="6"/>
  <c r="AG25" i="6"/>
  <c r="AG23" i="6"/>
  <c r="AG21" i="6"/>
  <c r="AG17" i="6"/>
  <c r="AG10" i="6"/>
  <c r="AF10" i="6" s="1"/>
  <c r="N15" i="6"/>
  <c r="N23" i="6"/>
  <c r="N21" i="6"/>
  <c r="N11" i="6"/>
  <c r="O25" i="6"/>
  <c r="N25" i="6" s="1"/>
  <c r="O24" i="6"/>
  <c r="N24" i="6" s="1"/>
  <c r="O21" i="6"/>
  <c r="O20" i="6"/>
  <c r="O17" i="6"/>
  <c r="O15" i="6"/>
  <c r="O14" i="6"/>
  <c r="O13" i="6"/>
  <c r="N13" i="6" s="1"/>
  <c r="O12" i="6"/>
  <c r="N12" i="6" s="1"/>
  <c r="O11" i="6"/>
  <c r="O22" i="7"/>
  <c r="O21" i="7"/>
  <c r="O20" i="7"/>
  <c r="O19" i="7"/>
  <c r="O17" i="7"/>
  <c r="O16" i="7"/>
  <c r="O15" i="7"/>
  <c r="O14" i="7"/>
  <c r="O12" i="7"/>
  <c r="AG18" i="7"/>
  <c r="AG13" i="7"/>
  <c r="AG10" i="7"/>
  <c r="AF18" i="7"/>
  <c r="AF13" i="7"/>
  <c r="AF10" i="7"/>
  <c r="N21" i="7"/>
  <c r="N19" i="7"/>
  <c r="AF13" i="10" l="1"/>
  <c r="AF10" i="10"/>
  <c r="AG13" i="10"/>
  <c r="AG10" i="10"/>
  <c r="M15" i="10"/>
  <c r="O15" i="10"/>
  <c r="N15" i="10" s="1"/>
  <c r="O12" i="10"/>
  <c r="N12" i="10" s="1"/>
  <c r="AG21" i="16"/>
  <c r="AG13" i="16"/>
  <c r="AG10" i="16"/>
  <c r="AF13" i="16"/>
  <c r="AF10" i="16"/>
  <c r="N19" i="16"/>
  <c r="O22" i="16"/>
  <c r="O21" i="16"/>
  <c r="O19" i="16"/>
  <c r="O18" i="16"/>
  <c r="O17" i="16"/>
  <c r="O16" i="16"/>
  <c r="O15" i="16"/>
  <c r="O14" i="16"/>
  <c r="O12" i="16"/>
  <c r="O11" i="16"/>
  <c r="AG13" i="8"/>
  <c r="AG10" i="8"/>
  <c r="AF13" i="8"/>
  <c r="AF10" i="8"/>
  <c r="N15" i="8"/>
  <c r="O17" i="8"/>
  <c r="N17" i="8" s="1"/>
  <c r="O16" i="8"/>
  <c r="N16" i="8" s="1"/>
  <c r="O15" i="8"/>
  <c r="O14" i="8"/>
  <c r="N14" i="8" s="1"/>
  <c r="O12" i="8"/>
  <c r="N12" i="8" s="1"/>
  <c r="AG13" i="14"/>
  <c r="AG10" i="14"/>
  <c r="N17" i="14"/>
  <c r="N15" i="14"/>
  <c r="O21" i="14"/>
  <c r="O20" i="14"/>
  <c r="O19" i="14"/>
  <c r="O18" i="14"/>
  <c r="O17" i="14"/>
  <c r="O16" i="14"/>
  <c r="O15" i="14"/>
  <c r="O14" i="14"/>
  <c r="O12" i="14"/>
  <c r="O20" i="4"/>
  <c r="O19" i="4"/>
  <c r="O18" i="4"/>
  <c r="O17" i="4"/>
  <c r="O16" i="4"/>
  <c r="O15" i="4"/>
  <c r="O14" i="4"/>
  <c r="O12" i="4"/>
  <c r="AG13" i="4"/>
  <c r="AG10" i="4"/>
  <c r="AF13" i="4"/>
  <c r="AF10" i="4"/>
  <c r="N18" i="4"/>
  <c r="N16" i="4"/>
  <c r="N14" i="4"/>
  <c r="N16" i="13"/>
  <c r="AG13" i="13"/>
  <c r="AF13" i="13" s="1"/>
  <c r="AG10" i="13"/>
  <c r="AF10" i="13" s="1"/>
  <c r="O16" i="13"/>
  <c r="O15" i="13"/>
  <c r="O12" i="13"/>
  <c r="N12" i="13" s="1"/>
  <c r="AF14" i="12"/>
  <c r="AF11" i="12"/>
  <c r="AG14" i="12"/>
  <c r="AG11" i="12"/>
  <c r="O12" i="12"/>
  <c r="O11" i="17"/>
  <c r="AF33" i="2"/>
  <c r="AF14" i="2"/>
  <c r="AF11" i="2"/>
  <c r="AG27" i="2"/>
  <c r="AG22" i="2"/>
  <c r="AG19" i="2"/>
  <c r="AG14" i="2"/>
  <c r="AG11" i="2"/>
  <c r="N12" i="2"/>
  <c r="O34" i="2"/>
  <c r="O33" i="2"/>
  <c r="O32" i="2"/>
  <c r="O31" i="2"/>
  <c r="O28" i="2"/>
  <c r="O23" i="2"/>
  <c r="O20" i="2"/>
  <c r="O15" i="2"/>
  <c r="O12" i="2"/>
  <c r="AF16" i="17"/>
  <c r="AF13" i="17"/>
  <c r="AF10" i="17"/>
  <c r="AG28" i="17"/>
  <c r="AG25" i="17"/>
  <c r="AG22" i="17"/>
  <c r="AG16" i="17"/>
  <c r="AG13" i="17"/>
  <c r="AG10" i="17"/>
  <c r="O26" i="17"/>
  <c r="O30" i="17"/>
  <c r="O27" i="17"/>
  <c r="O24" i="17"/>
  <c r="O18" i="17"/>
  <c r="O15" i="17"/>
  <c r="O14" i="17" s="1"/>
  <c r="O12" i="17"/>
  <c r="AF19" i="11"/>
  <c r="AG28" i="11"/>
  <c r="O34" i="9" l="1"/>
  <c r="O31" i="9"/>
  <c r="AF31" i="5"/>
  <c r="O33" i="5"/>
  <c r="O32" i="5"/>
  <c r="AF19" i="10"/>
  <c r="AG19" i="10"/>
  <c r="AG56" i="3"/>
  <c r="N20" i="4"/>
  <c r="N19" i="4"/>
  <c r="N17" i="4"/>
  <c r="N15" i="4"/>
  <c r="N12" i="4"/>
  <c r="N11" i="4" s="1"/>
  <c r="A3" i="12"/>
  <c r="A3" i="13" s="1"/>
  <c r="A3" i="14" s="1"/>
  <c r="A3" i="15" s="1"/>
  <c r="O15" i="12"/>
  <c r="A3" i="7"/>
  <c r="A3" i="8" s="1"/>
  <c r="A3" i="5"/>
  <c r="A3" i="4"/>
  <c r="A3" i="3"/>
  <c r="AG34" i="2"/>
  <c r="AG31" i="2"/>
  <c r="AF31" i="2" s="1"/>
  <c r="N31" i="2"/>
  <c r="N32" i="2"/>
  <c r="N28" i="2"/>
  <c r="N20" i="2"/>
  <c r="N15" i="2"/>
  <c r="A3" i="9" l="1"/>
  <c r="A3" i="10"/>
  <c r="A3" i="11" s="1"/>
  <c r="A3" i="16"/>
  <c r="A3" i="6"/>
  <c r="N30" i="17"/>
  <c r="N29" i="17" s="1"/>
  <c r="BB29" i="17"/>
  <c r="BA29" i="17"/>
  <c r="AZ29" i="17"/>
  <c r="AY29" i="17"/>
  <c r="AX29" i="17"/>
  <c r="AW29" i="17"/>
  <c r="AV29" i="17"/>
  <c r="AU29" i="17"/>
  <c r="AA29" i="17"/>
  <c r="Z29" i="17"/>
  <c r="O29" i="17" s="1"/>
  <c r="Y29" i="17"/>
  <c r="X29" i="17"/>
  <c r="W29" i="17"/>
  <c r="V29" i="17"/>
  <c r="U29" i="17"/>
  <c r="T29" i="17"/>
  <c r="S29" i="17"/>
  <c r="R29" i="17"/>
  <c r="Q29" i="17"/>
  <c r="P29" i="17"/>
  <c r="M29" i="17"/>
  <c r="L29" i="17"/>
  <c r="K29" i="17"/>
  <c r="J29" i="17"/>
  <c r="AF28" i="17"/>
  <c r="N27" i="17"/>
  <c r="BB26" i="17"/>
  <c r="BA26" i="17"/>
  <c r="AZ26" i="17"/>
  <c r="AY26" i="17"/>
  <c r="AX26" i="17"/>
  <c r="AW26" i="17"/>
  <c r="AV26" i="17"/>
  <c r="AU26" i="17"/>
  <c r="Z26" i="17"/>
  <c r="Y26" i="17"/>
  <c r="X26" i="17"/>
  <c r="W26" i="17"/>
  <c r="V26" i="17"/>
  <c r="U26" i="17"/>
  <c r="T26" i="17"/>
  <c r="S26" i="17"/>
  <c r="R26" i="17"/>
  <c r="Q26" i="17"/>
  <c r="P26" i="17"/>
  <c r="N26" i="17"/>
  <c r="M26" i="17"/>
  <c r="L26" i="17"/>
  <c r="K26" i="17"/>
  <c r="J26" i="17"/>
  <c r="AF25" i="17"/>
  <c r="N24" i="17"/>
  <c r="N23" i="17" s="1"/>
  <c r="BB23" i="17"/>
  <c r="BA23" i="17"/>
  <c r="AZ23" i="17"/>
  <c r="AY23" i="17"/>
  <c r="AX23" i="17"/>
  <c r="AW23" i="17"/>
  <c r="AV23" i="17"/>
  <c r="AU23" i="17"/>
  <c r="AA23" i="17"/>
  <c r="Z23" i="17"/>
  <c r="O23" i="17" s="1"/>
  <c r="X23" i="17"/>
  <c r="W23" i="17"/>
  <c r="U23" i="17"/>
  <c r="T23" i="17"/>
  <c r="S23" i="17"/>
  <c r="R23" i="17"/>
  <c r="Q23" i="17"/>
  <c r="P23" i="17"/>
  <c r="M23" i="17"/>
  <c r="L23" i="17"/>
  <c r="K23" i="17"/>
  <c r="J23" i="17"/>
  <c r="AF22" i="17"/>
  <c r="N18" i="17"/>
  <c r="BB17" i="17"/>
  <c r="BA17" i="17"/>
  <c r="AZ17" i="17"/>
  <c r="AY17" i="17"/>
  <c r="AX17" i="17"/>
  <c r="AW17" i="17"/>
  <c r="AV17" i="17"/>
  <c r="AU17" i="17"/>
  <c r="AA17" i="17"/>
  <c r="Z17" i="17"/>
  <c r="O17" i="17" s="1"/>
  <c r="Y17" i="17"/>
  <c r="W17" i="17"/>
  <c r="V17" i="17"/>
  <c r="U17" i="17"/>
  <c r="T17" i="17"/>
  <c r="S17" i="17"/>
  <c r="R17" i="17"/>
  <c r="Q17" i="17"/>
  <c r="P17" i="17"/>
  <c r="N17" i="17"/>
  <c r="M17" i="17"/>
  <c r="L17" i="17"/>
  <c r="K17" i="17"/>
  <c r="J17" i="17"/>
  <c r="N15" i="17"/>
  <c r="N14" i="17" s="1"/>
  <c r="BB14" i="17"/>
  <c r="BA14" i="17"/>
  <c r="AZ14" i="17"/>
  <c r="AY14" i="17"/>
  <c r="AX14" i="17"/>
  <c r="AW14" i="17"/>
  <c r="AV14" i="17"/>
  <c r="AU14" i="17"/>
  <c r="AA14" i="17"/>
  <c r="Y14" i="17"/>
  <c r="X14" i="17"/>
  <c r="W14" i="17"/>
  <c r="V14" i="17"/>
  <c r="U14" i="17"/>
  <c r="T14" i="17"/>
  <c r="S14" i="17"/>
  <c r="R14" i="17"/>
  <c r="Q14" i="17"/>
  <c r="P14" i="17"/>
  <c r="L14" i="17"/>
  <c r="K14" i="17"/>
  <c r="J14" i="17"/>
  <c r="N12" i="17"/>
  <c r="N11" i="17" s="1"/>
  <c r="BB11" i="17"/>
  <c r="BA11" i="17"/>
  <c r="AZ11" i="17"/>
  <c r="AY11" i="17"/>
  <c r="AX11" i="17"/>
  <c r="AW11" i="17"/>
  <c r="AV11" i="17"/>
  <c r="AU11" i="17"/>
  <c r="AA11" i="17"/>
  <c r="Z11" i="17"/>
  <c r="X11" i="17"/>
  <c r="W11" i="17"/>
  <c r="V11" i="17"/>
  <c r="U11" i="17"/>
  <c r="T11" i="17"/>
  <c r="S11" i="17"/>
  <c r="R11" i="17"/>
  <c r="Q11" i="17"/>
  <c r="P11" i="17"/>
  <c r="M11" i="17"/>
  <c r="L11" i="17"/>
  <c r="K11" i="17"/>
  <c r="J11" i="17"/>
  <c r="Y21" i="16"/>
  <c r="L21" i="16"/>
  <c r="N22" i="16"/>
  <c r="N21" i="16" s="1"/>
  <c r="AG27" i="15"/>
  <c r="O30" i="11"/>
  <c r="AQ61" i="3"/>
  <c r="AH61" i="3"/>
  <c r="AI61" i="3"/>
  <c r="AJ61" i="3"/>
  <c r="AK61" i="3"/>
  <c r="AL61" i="3"/>
  <c r="AM61" i="3"/>
  <c r="AN61" i="3"/>
  <c r="AO61" i="3"/>
  <c r="AP61" i="3"/>
  <c r="N38" i="3"/>
  <c r="AQ35" i="2"/>
  <c r="M11" i="9" l="1"/>
  <c r="N20" i="7" l="1"/>
  <c r="N22" i="7"/>
  <c r="O11" i="7"/>
  <c r="N26" i="5"/>
  <c r="X23" i="5"/>
  <c r="AF17" i="6" l="1"/>
  <c r="W11" i="14"/>
  <c r="W32" i="3" l="1"/>
  <c r="V14" i="14"/>
  <c r="AF28" i="11"/>
  <c r="V14" i="5" l="1"/>
  <c r="V19" i="3"/>
  <c r="V14" i="2"/>
  <c r="N15" i="7"/>
  <c r="N12" i="7"/>
  <c r="K14" i="5"/>
  <c r="L14" i="5"/>
  <c r="M11" i="4"/>
  <c r="V19" i="2"/>
  <c r="N19" i="2"/>
  <c r="N14" i="2"/>
  <c r="V27" i="2"/>
  <c r="V22" i="2"/>
  <c r="M19" i="2"/>
  <c r="M11" i="2"/>
  <c r="N11" i="2"/>
  <c r="N12" i="5"/>
  <c r="N11" i="5" s="1"/>
  <c r="N18" i="16"/>
  <c r="N17" i="16"/>
  <c r="N16" i="16"/>
  <c r="N15" i="16"/>
  <c r="N12" i="16"/>
  <c r="N12" i="15"/>
  <c r="U11" i="14"/>
  <c r="N21" i="14"/>
  <c r="N20" i="14"/>
  <c r="N19" i="14"/>
  <c r="N18" i="14"/>
  <c r="N16" i="14"/>
  <c r="N12" i="14"/>
  <c r="N15" i="13"/>
  <c r="N15" i="12"/>
  <c r="N12" i="12"/>
  <c r="N30" i="11"/>
  <c r="N24" i="11"/>
  <c r="N23" i="11"/>
  <c r="N22" i="11"/>
  <c r="N21" i="11"/>
  <c r="N18" i="11"/>
  <c r="N17" i="11"/>
  <c r="N16" i="11"/>
  <c r="N12" i="11"/>
  <c r="U11" i="10"/>
  <c r="N21" i="10"/>
  <c r="N34" i="9"/>
  <c r="N31" i="9"/>
  <c r="N25" i="9"/>
  <c r="U11" i="9"/>
  <c r="U11" i="8"/>
  <c r="AM13" i="7"/>
  <c r="N16" i="7"/>
  <c r="N17" i="7"/>
  <c r="AM10" i="6"/>
  <c r="U11" i="6"/>
  <c r="U11" i="5"/>
  <c r="V14" i="9" l="1"/>
  <c r="N15" i="9"/>
  <c r="N16" i="9"/>
  <c r="AM13" i="4"/>
  <c r="U11" i="3"/>
  <c r="N46" i="3"/>
  <c r="N45" i="3"/>
  <c r="M41" i="3"/>
  <c r="N35" i="3"/>
  <c r="N34" i="3"/>
  <c r="N33" i="3"/>
  <c r="N28" i="3"/>
  <c r="N25" i="3"/>
  <c r="N17" i="3"/>
  <c r="N16" i="3" s="1"/>
  <c r="U11" i="2"/>
  <c r="U11" i="16"/>
  <c r="U18" i="15"/>
  <c r="U14" i="10" l="1"/>
  <c r="AT26" i="3" l="1"/>
  <c r="AT18" i="3"/>
  <c r="Z11" i="15" l="1"/>
  <c r="Y11" i="15"/>
  <c r="V11" i="15"/>
  <c r="U11" i="15"/>
  <c r="T11" i="15"/>
  <c r="R29" i="11"/>
  <c r="N20" i="6"/>
  <c r="T14" i="4"/>
  <c r="N33" i="5"/>
  <c r="S11" i="15" l="1"/>
  <c r="R11" i="15"/>
  <c r="Q11" i="15"/>
  <c r="N11" i="8"/>
  <c r="AF44" i="3"/>
  <c r="M45" i="3"/>
  <c r="M37" i="3"/>
  <c r="M32" i="3"/>
  <c r="AF22" i="2"/>
  <c r="AF19" i="2"/>
  <c r="AA22" i="2"/>
  <c r="O22" i="2" s="1"/>
  <c r="Z22" i="2"/>
  <c r="Y22" i="2"/>
  <c r="X22" i="2"/>
  <c r="W22" i="2"/>
  <c r="U22" i="2"/>
  <c r="T22" i="2"/>
  <c r="S22" i="2"/>
  <c r="R22" i="2"/>
  <c r="Q22" i="2"/>
  <c r="P22" i="2"/>
  <c r="AA19" i="2"/>
  <c r="O19" i="2" s="1"/>
  <c r="Z19" i="2"/>
  <c r="Y19" i="2"/>
  <c r="X19" i="2"/>
  <c r="W19" i="2"/>
  <c r="U19" i="2"/>
  <c r="T19" i="2"/>
  <c r="S19" i="2"/>
  <c r="R19" i="2"/>
  <c r="Q19" i="2"/>
  <c r="P19" i="2"/>
  <c r="N23" i="2"/>
  <c r="N22" i="2" s="1"/>
  <c r="R22" i="9"/>
  <c r="R18" i="9"/>
  <c r="R14" i="9"/>
  <c r="R11" i="9"/>
  <c r="N27" i="2"/>
  <c r="AF27" i="2"/>
  <c r="AA27" i="2"/>
  <c r="O27" i="2" s="1"/>
  <c r="Y27" i="2"/>
  <c r="X27" i="2"/>
  <c r="W27" i="2"/>
  <c r="U27" i="2"/>
  <c r="T27" i="2"/>
  <c r="S27" i="2"/>
  <c r="R27" i="2"/>
  <c r="Q27" i="2"/>
  <c r="P27" i="2"/>
  <c r="L27" i="2"/>
  <c r="K27" i="2"/>
  <c r="J27" i="2"/>
  <c r="AA14" i="2"/>
  <c r="O14" i="2" s="1"/>
  <c r="Z14" i="2"/>
  <c r="X14" i="2"/>
  <c r="W14" i="2"/>
  <c r="U14" i="2"/>
  <c r="T14" i="2"/>
  <c r="S14" i="2"/>
  <c r="R14" i="2"/>
  <c r="Q14" i="2"/>
  <c r="P14" i="2"/>
  <c r="L14" i="2"/>
  <c r="K14" i="2"/>
  <c r="J14" i="2"/>
  <c r="AA11" i="2"/>
  <c r="O11" i="2" s="1"/>
  <c r="Z11" i="2"/>
  <c r="X11" i="2"/>
  <c r="W11" i="2"/>
  <c r="V11" i="2"/>
  <c r="T11" i="2"/>
  <c r="S11" i="2"/>
  <c r="R11" i="2"/>
  <c r="Q11" i="2"/>
  <c r="P11" i="2"/>
  <c r="L11" i="2"/>
  <c r="K11" i="2"/>
  <c r="J11" i="2"/>
  <c r="Z50" i="3"/>
  <c r="X50" i="3"/>
  <c r="W50" i="3"/>
  <c r="V50" i="3"/>
  <c r="U50" i="3"/>
  <c r="T50" i="3"/>
  <c r="S50" i="3"/>
  <c r="R50" i="3"/>
  <c r="Q50" i="3"/>
  <c r="P50" i="3"/>
  <c r="M50" i="3"/>
  <c r="L50" i="3"/>
  <c r="K50" i="3"/>
  <c r="J50" i="3"/>
  <c r="J25" i="16" l="1"/>
  <c r="M11" i="16"/>
  <c r="L14" i="16"/>
  <c r="K14" i="16"/>
  <c r="J14" i="16"/>
  <c r="Y11" i="16"/>
  <c r="X11" i="16"/>
  <c r="W11" i="16"/>
  <c r="V11" i="16"/>
  <c r="T11" i="16"/>
  <c r="S11" i="16"/>
  <c r="R11" i="16"/>
  <c r="Q11" i="16"/>
  <c r="P11" i="16"/>
  <c r="L11" i="16"/>
  <c r="K11" i="16"/>
  <c r="J11" i="16"/>
  <c r="W14" i="16"/>
  <c r="U14" i="16"/>
  <c r="T14" i="16"/>
  <c r="S14" i="16"/>
  <c r="R14" i="16"/>
  <c r="Q14" i="16"/>
  <c r="P14" i="16"/>
  <c r="K11" i="15"/>
  <c r="J11" i="15"/>
  <c r="L18" i="15"/>
  <c r="K18" i="15"/>
  <c r="J18" i="15"/>
  <c r="X18" i="15"/>
  <c r="W18" i="15"/>
  <c r="V18" i="15"/>
  <c r="T18" i="15"/>
  <c r="S18" i="15"/>
  <c r="R18" i="15"/>
  <c r="Q18" i="15"/>
  <c r="P18" i="15"/>
  <c r="P11" i="15"/>
  <c r="N11" i="15" s="1"/>
  <c r="M11" i="14"/>
  <c r="M14" i="14"/>
  <c r="W14" i="14"/>
  <c r="T14" i="14"/>
  <c r="S14" i="14"/>
  <c r="R14" i="14"/>
  <c r="Q14" i="14"/>
  <c r="P14" i="14"/>
  <c r="L14" i="14"/>
  <c r="K14" i="14"/>
  <c r="J14" i="14"/>
  <c r="L11" i="14"/>
  <c r="K11" i="14"/>
  <c r="J11" i="14"/>
  <c r="AA11" i="14"/>
  <c r="O11" i="14" s="1"/>
  <c r="X11" i="14"/>
  <c r="V11" i="14"/>
  <c r="T11" i="14"/>
  <c r="S11" i="14"/>
  <c r="R11" i="14"/>
  <c r="Q11" i="14"/>
  <c r="P11" i="14"/>
  <c r="M11" i="13"/>
  <c r="L14" i="13"/>
  <c r="K14" i="13"/>
  <c r="J14" i="13"/>
  <c r="L11" i="13"/>
  <c r="K11" i="13"/>
  <c r="J11" i="13"/>
  <c r="AA14" i="13"/>
  <c r="O14" i="13" s="1"/>
  <c r="W14" i="13"/>
  <c r="V14" i="13"/>
  <c r="U14" i="13"/>
  <c r="T14" i="13"/>
  <c r="S14" i="13"/>
  <c r="R14" i="13"/>
  <c r="Q14" i="13"/>
  <c r="P14" i="13"/>
  <c r="AA11" i="13"/>
  <c r="O11" i="13" s="1"/>
  <c r="N11" i="13" s="1"/>
  <c r="X11" i="13"/>
  <c r="W11" i="13"/>
  <c r="V11" i="13"/>
  <c r="U11" i="13"/>
  <c r="T11" i="13"/>
  <c r="S11" i="13"/>
  <c r="R11" i="13"/>
  <c r="Q11" i="13"/>
  <c r="P11" i="13"/>
  <c r="M14" i="12"/>
  <c r="M11" i="12"/>
  <c r="L14" i="12"/>
  <c r="K14" i="12"/>
  <c r="J14" i="12"/>
  <c r="L11" i="12"/>
  <c r="K11" i="12"/>
  <c r="J11" i="12"/>
  <c r="AA14" i="12"/>
  <c r="Z14" i="12"/>
  <c r="O14" i="12" s="1"/>
  <c r="Y14" i="12"/>
  <c r="X14" i="12"/>
  <c r="W14" i="12"/>
  <c r="V14" i="12"/>
  <c r="U14" i="12"/>
  <c r="T14" i="12"/>
  <c r="S14" i="12"/>
  <c r="R14" i="12"/>
  <c r="Q14" i="12"/>
  <c r="P14" i="12"/>
  <c r="AA11" i="12"/>
  <c r="O11" i="12" s="1"/>
  <c r="Z11" i="12"/>
  <c r="Y11" i="12"/>
  <c r="X11" i="12"/>
  <c r="W11" i="12"/>
  <c r="V11" i="12"/>
  <c r="U11" i="12"/>
  <c r="T11" i="12"/>
  <c r="S11" i="12"/>
  <c r="R11" i="12"/>
  <c r="Q11" i="12"/>
  <c r="P11" i="12"/>
  <c r="M29" i="11"/>
  <c r="M20" i="11"/>
  <c r="L29" i="11"/>
  <c r="K29" i="11"/>
  <c r="J29" i="11"/>
  <c r="L20" i="11"/>
  <c r="K20" i="11"/>
  <c r="L14" i="11"/>
  <c r="K14" i="11"/>
  <c r="L11" i="11"/>
  <c r="K11" i="11"/>
  <c r="J11" i="11"/>
  <c r="AA29" i="11"/>
  <c r="O29" i="11" s="1"/>
  <c r="Z29" i="11"/>
  <c r="Y29" i="11"/>
  <c r="X29" i="11"/>
  <c r="W29" i="11"/>
  <c r="V29" i="11"/>
  <c r="U29" i="11"/>
  <c r="T29" i="11"/>
  <c r="S29" i="11"/>
  <c r="Q29" i="11"/>
  <c r="P29" i="11"/>
  <c r="W20" i="11"/>
  <c r="T20" i="11"/>
  <c r="S20" i="11"/>
  <c r="R20" i="11"/>
  <c r="Q20" i="11"/>
  <c r="P20" i="11"/>
  <c r="J20" i="11"/>
  <c r="Z14" i="11"/>
  <c r="W14" i="11"/>
  <c r="V14" i="11"/>
  <c r="U14" i="11"/>
  <c r="T14" i="11"/>
  <c r="S14" i="11"/>
  <c r="R14" i="11"/>
  <c r="Q14" i="11"/>
  <c r="P14" i="11"/>
  <c r="J14" i="11"/>
  <c r="Z11" i="11"/>
  <c r="Y11" i="11"/>
  <c r="X11" i="11"/>
  <c r="W11" i="11"/>
  <c r="V11" i="11"/>
  <c r="U11" i="11"/>
  <c r="T11" i="11"/>
  <c r="S11" i="11"/>
  <c r="R11" i="11"/>
  <c r="Q11" i="11"/>
  <c r="P11" i="11"/>
  <c r="N14" i="12" l="1"/>
  <c r="N11" i="12"/>
  <c r="N20" i="11"/>
  <c r="N14" i="11"/>
  <c r="N11" i="11"/>
  <c r="N14" i="16"/>
  <c r="N11" i="16"/>
  <c r="N14" i="13"/>
  <c r="N11" i="14"/>
  <c r="N14" i="14"/>
  <c r="N29" i="11"/>
  <c r="AX14" i="10"/>
  <c r="AV14" i="10"/>
  <c r="BB11" i="10"/>
  <c r="M20" i="10"/>
  <c r="L20" i="10"/>
  <c r="K20" i="10"/>
  <c r="J20" i="10"/>
  <c r="L14" i="10"/>
  <c r="K14" i="10"/>
  <c r="J14" i="10"/>
  <c r="L11" i="10"/>
  <c r="K11" i="10"/>
  <c r="J11" i="10"/>
  <c r="BC20" i="10"/>
  <c r="BB20" i="10"/>
  <c r="BA20" i="10"/>
  <c r="AZ20" i="10"/>
  <c r="AX20" i="10"/>
  <c r="AW20" i="10"/>
  <c r="AV20" i="10"/>
  <c r="AA20" i="10"/>
  <c r="Z20" i="10"/>
  <c r="O20" i="10" s="1"/>
  <c r="X20" i="10"/>
  <c r="W20" i="10"/>
  <c r="V20" i="10"/>
  <c r="U20" i="10"/>
  <c r="T20" i="10"/>
  <c r="S20" i="10"/>
  <c r="R20" i="10"/>
  <c r="Q20" i="10"/>
  <c r="P20" i="10"/>
  <c r="BC14" i="10"/>
  <c r="BB14" i="10"/>
  <c r="BA14" i="10"/>
  <c r="AZ14" i="10"/>
  <c r="AW14" i="10"/>
  <c r="AA14" i="10"/>
  <c r="O14" i="10" s="1"/>
  <c r="N14" i="10" s="1"/>
  <c r="X14" i="10"/>
  <c r="W14" i="10"/>
  <c r="V14" i="10"/>
  <c r="T14" i="10"/>
  <c r="S14" i="10"/>
  <c r="R14" i="10"/>
  <c r="Q14" i="10"/>
  <c r="P14" i="10"/>
  <c r="BC11" i="10"/>
  <c r="BA11" i="10"/>
  <c r="AZ11" i="10"/>
  <c r="AX11" i="10"/>
  <c r="AW11" i="10"/>
  <c r="AV11" i="10"/>
  <c r="AA11" i="10"/>
  <c r="O11" i="10" s="1"/>
  <c r="N11" i="10" s="1"/>
  <c r="X11" i="10"/>
  <c r="W11" i="10"/>
  <c r="V11" i="10"/>
  <c r="T11" i="10"/>
  <c r="S11" i="10"/>
  <c r="R11" i="10"/>
  <c r="Q11" i="10"/>
  <c r="P11" i="10"/>
  <c r="M33" i="9"/>
  <c r="M30" i="9"/>
  <c r="L33" i="9"/>
  <c r="K33" i="9"/>
  <c r="J33" i="9"/>
  <c r="L30" i="9"/>
  <c r="K30" i="9"/>
  <c r="J30" i="9"/>
  <c r="L22" i="9"/>
  <c r="K22" i="9"/>
  <c r="J22" i="9"/>
  <c r="L18" i="9"/>
  <c r="K18" i="9"/>
  <c r="J18" i="9"/>
  <c r="L14" i="9"/>
  <c r="K14" i="9"/>
  <c r="J14" i="9"/>
  <c r="L11" i="9"/>
  <c r="K11" i="9"/>
  <c r="J11" i="9"/>
  <c r="AA33" i="9"/>
  <c r="Z33" i="9"/>
  <c r="O33" i="9" s="1"/>
  <c r="Y33" i="9"/>
  <c r="X33" i="9"/>
  <c r="W33" i="9"/>
  <c r="V33" i="9"/>
  <c r="U33" i="9"/>
  <c r="T33" i="9"/>
  <c r="S33" i="9"/>
  <c r="R33" i="9"/>
  <c r="P33" i="9"/>
  <c r="AA30" i="9"/>
  <c r="Z30" i="9"/>
  <c r="O30" i="9" s="1"/>
  <c r="Y30" i="9"/>
  <c r="X30" i="9"/>
  <c r="W30" i="9"/>
  <c r="V30" i="9"/>
  <c r="U30" i="9"/>
  <c r="T30" i="9"/>
  <c r="S30" i="9"/>
  <c r="R30" i="9"/>
  <c r="Q30" i="9"/>
  <c r="P30" i="9"/>
  <c r="N24" i="9"/>
  <c r="N23" i="9"/>
  <c r="W22" i="9"/>
  <c r="T22" i="9"/>
  <c r="S22" i="9"/>
  <c r="Q22" i="9"/>
  <c r="P22" i="9"/>
  <c r="N20" i="9"/>
  <c r="N19" i="9"/>
  <c r="V18" i="9"/>
  <c r="T18" i="9"/>
  <c r="S18" i="9"/>
  <c r="Q18" i="9"/>
  <c r="P18" i="9"/>
  <c r="T14" i="9"/>
  <c r="S14" i="9"/>
  <c r="Q14" i="9"/>
  <c r="P14" i="9"/>
  <c r="N12" i="9"/>
  <c r="N11" i="9" s="1"/>
  <c r="X11" i="9"/>
  <c r="W11" i="9"/>
  <c r="V11" i="9"/>
  <c r="T11" i="9"/>
  <c r="S11" i="9"/>
  <c r="Q11" i="9"/>
  <c r="P11" i="9"/>
  <c r="L14" i="8"/>
  <c r="K14" i="8"/>
  <c r="L11" i="8"/>
  <c r="K11" i="8"/>
  <c r="J11" i="8"/>
  <c r="W14" i="8"/>
  <c r="T14" i="8"/>
  <c r="S14" i="8"/>
  <c r="R14" i="8"/>
  <c r="Q14" i="8"/>
  <c r="P14" i="8"/>
  <c r="J14" i="8"/>
  <c r="AA11" i="8"/>
  <c r="O11" i="8" s="1"/>
  <c r="X11" i="8"/>
  <c r="W11" i="8"/>
  <c r="V11" i="8"/>
  <c r="T11" i="8"/>
  <c r="S11" i="8"/>
  <c r="R11" i="8"/>
  <c r="Q11" i="8"/>
  <c r="P11" i="8"/>
  <c r="M14" i="7"/>
  <c r="M11" i="7"/>
  <c r="L19" i="7"/>
  <c r="K19" i="7"/>
  <c r="J19" i="7"/>
  <c r="L14" i="7"/>
  <c r="K14" i="7"/>
  <c r="J14" i="7"/>
  <c r="N11" i="7"/>
  <c r="L11" i="7"/>
  <c r="K11" i="7"/>
  <c r="J11" i="7"/>
  <c r="W19" i="7"/>
  <c r="T19" i="7"/>
  <c r="S19" i="7"/>
  <c r="R19" i="7"/>
  <c r="Q19" i="7"/>
  <c r="P19" i="7"/>
  <c r="W14" i="7"/>
  <c r="T14" i="7"/>
  <c r="S14" i="7"/>
  <c r="R14" i="7"/>
  <c r="Q14" i="7"/>
  <c r="P14" i="7"/>
  <c r="AA11" i="7"/>
  <c r="Y11" i="7"/>
  <c r="X11" i="7"/>
  <c r="V11" i="7"/>
  <c r="T11" i="7"/>
  <c r="S11" i="7"/>
  <c r="R11" i="7"/>
  <c r="Q11" i="7"/>
  <c r="P11" i="7"/>
  <c r="L11" i="6"/>
  <c r="K11" i="6"/>
  <c r="X11" i="6"/>
  <c r="W11" i="6"/>
  <c r="T11" i="6"/>
  <c r="S11" i="6"/>
  <c r="R11" i="6"/>
  <c r="Q11" i="6"/>
  <c r="P11" i="6"/>
  <c r="J11" i="6"/>
  <c r="M32" i="5"/>
  <c r="M23" i="5"/>
  <c r="L32" i="5"/>
  <c r="K32" i="5"/>
  <c r="J32" i="5"/>
  <c r="L26" i="5"/>
  <c r="K26" i="5"/>
  <c r="L23" i="5"/>
  <c r="K23" i="5"/>
  <c r="X11" i="5"/>
  <c r="W11" i="5"/>
  <c r="V11" i="5"/>
  <c r="T11" i="5"/>
  <c r="S11" i="5"/>
  <c r="R11" i="5"/>
  <c r="Q11" i="5"/>
  <c r="P11" i="5"/>
  <c r="L11" i="5"/>
  <c r="K11" i="5"/>
  <c r="J11" i="5"/>
  <c r="N32" i="5"/>
  <c r="AA32" i="5"/>
  <c r="Y32" i="5"/>
  <c r="X32" i="5"/>
  <c r="W32" i="5"/>
  <c r="V32" i="5"/>
  <c r="U32" i="5"/>
  <c r="T32" i="5"/>
  <c r="S32" i="5"/>
  <c r="R32" i="5"/>
  <c r="Q32" i="5"/>
  <c r="P32" i="5"/>
  <c r="X26" i="5"/>
  <c r="W26" i="5"/>
  <c r="V26" i="5"/>
  <c r="T26" i="5"/>
  <c r="S26" i="5"/>
  <c r="R26" i="5"/>
  <c r="Q26" i="5"/>
  <c r="P26" i="5"/>
  <c r="J26" i="5"/>
  <c r="N23" i="5"/>
  <c r="W23" i="5"/>
  <c r="V23" i="5"/>
  <c r="T23" i="5"/>
  <c r="S23" i="5"/>
  <c r="R23" i="5"/>
  <c r="Q23" i="5"/>
  <c r="P23" i="5"/>
  <c r="J23" i="5"/>
  <c r="N21" i="5"/>
  <c r="N20" i="5"/>
  <c r="N19" i="5"/>
  <c r="N18" i="5"/>
  <c r="N17" i="5"/>
  <c r="T14" i="5"/>
  <c r="S14" i="5"/>
  <c r="R14" i="5"/>
  <c r="Q14" i="5"/>
  <c r="P14" i="5"/>
  <c r="J14" i="5"/>
  <c r="BC14" i="4"/>
  <c r="BB14" i="4"/>
  <c r="BA14" i="4"/>
  <c r="AZ14" i="4"/>
  <c r="AY14" i="4"/>
  <c r="AX14" i="4"/>
  <c r="AW14" i="4"/>
  <c r="AV14" i="4"/>
  <c r="L14" i="4"/>
  <c r="K14" i="4"/>
  <c r="J14" i="4"/>
  <c r="L11" i="4"/>
  <c r="K11" i="4"/>
  <c r="N14" i="7" l="1"/>
  <c r="N20" i="10"/>
  <c r="N30" i="9"/>
  <c r="N33" i="9"/>
  <c r="N18" i="9"/>
  <c r="N22" i="9"/>
  <c r="BC11" i="4"/>
  <c r="BB11" i="4"/>
  <c r="V14" i="4"/>
  <c r="S14" i="4"/>
  <c r="R14" i="4"/>
  <c r="Q14" i="4"/>
  <c r="P14" i="4"/>
  <c r="BA11" i="4"/>
  <c r="AZ11" i="4"/>
  <c r="AY11" i="4"/>
  <c r="AX11" i="4"/>
  <c r="AV11" i="4"/>
  <c r="AA11" i="4"/>
  <c r="O11" i="4" s="1"/>
  <c r="Z11" i="4"/>
  <c r="X11" i="4"/>
  <c r="W11" i="4"/>
  <c r="U11" i="4"/>
  <c r="T11" i="4"/>
  <c r="S11" i="4"/>
  <c r="R11" i="4"/>
  <c r="Q11" i="4"/>
  <c r="P11" i="4"/>
  <c r="J11" i="4"/>
  <c r="BA19" i="3"/>
  <c r="AW19" i="3"/>
  <c r="BB19" i="3"/>
  <c r="AX19" i="3"/>
  <c r="BC16" i="3"/>
  <c r="AY16" i="3"/>
  <c r="AW16" i="3"/>
  <c r="AY11" i="3"/>
  <c r="L27" i="3"/>
  <c r="K27" i="3"/>
  <c r="M24" i="3"/>
  <c r="L24" i="3"/>
  <c r="K24" i="3"/>
  <c r="N27" i="3"/>
  <c r="N24" i="3"/>
  <c r="X27" i="3"/>
  <c r="W27" i="3"/>
  <c r="V27" i="3"/>
  <c r="U27" i="3"/>
  <c r="T27" i="3"/>
  <c r="S27" i="3"/>
  <c r="R27" i="3"/>
  <c r="Q27" i="3"/>
  <c r="P27" i="3"/>
  <c r="Z24" i="3"/>
  <c r="Y24" i="3"/>
  <c r="X24" i="3"/>
  <c r="W24" i="3"/>
  <c r="V24" i="3"/>
  <c r="U24" i="3"/>
  <c r="T24" i="3"/>
  <c r="S24" i="3"/>
  <c r="R24" i="3"/>
  <c r="Q24" i="3"/>
  <c r="P24" i="3"/>
  <c r="X19" i="3"/>
  <c r="W19" i="3"/>
  <c r="U19" i="3"/>
  <c r="T19" i="3"/>
  <c r="S19" i="3"/>
  <c r="R19" i="3"/>
  <c r="Q19" i="3"/>
  <c r="P19" i="3"/>
  <c r="Z16" i="3"/>
  <c r="Y16" i="3"/>
  <c r="W16" i="3"/>
  <c r="V16" i="3"/>
  <c r="U16" i="3"/>
  <c r="T16" i="3"/>
  <c r="S16" i="3"/>
  <c r="R16" i="3"/>
  <c r="Q16" i="3"/>
  <c r="P16" i="3"/>
  <c r="M19" i="3"/>
  <c r="L19" i="3"/>
  <c r="K19" i="3"/>
  <c r="L16" i="3"/>
  <c r="K16" i="3"/>
  <c r="M11" i="3"/>
  <c r="L11" i="3"/>
  <c r="K11" i="3"/>
  <c r="BC27" i="3"/>
  <c r="BB27" i="3"/>
  <c r="BA27" i="3"/>
  <c r="AZ27" i="3"/>
  <c r="AY27" i="3"/>
  <c r="AX27" i="3"/>
  <c r="AW27" i="3"/>
  <c r="AV27" i="3"/>
  <c r="J27" i="3"/>
  <c r="BC24" i="3"/>
  <c r="BB24" i="3"/>
  <c r="BA24" i="3"/>
  <c r="AZ24" i="3"/>
  <c r="AY24" i="3"/>
  <c r="AX24" i="3"/>
  <c r="AW24" i="3"/>
  <c r="AV24" i="3"/>
  <c r="J24" i="3"/>
  <c r="AT23" i="3"/>
  <c r="AF23" i="3"/>
  <c r="BC19" i="3"/>
  <c r="AZ19" i="3"/>
  <c r="AY19" i="3"/>
  <c r="AV19" i="3"/>
  <c r="J19" i="3"/>
  <c r="BB16" i="3"/>
  <c r="BA16" i="3"/>
  <c r="AZ16" i="3"/>
  <c r="AX16" i="3"/>
  <c r="AV16" i="3"/>
  <c r="J16" i="3"/>
  <c r="AT15" i="3"/>
  <c r="BC11" i="3"/>
  <c r="BB11" i="3"/>
  <c r="BA11" i="3"/>
  <c r="AZ11" i="3"/>
  <c r="AW11" i="3"/>
  <c r="AV11" i="3"/>
  <c r="Z11" i="3"/>
  <c r="X11" i="3"/>
  <c r="W11" i="3"/>
  <c r="V11" i="3"/>
  <c r="T11" i="3"/>
  <c r="R11" i="3"/>
  <c r="Q11" i="3"/>
  <c r="P11" i="3"/>
  <c r="J11" i="3"/>
  <c r="AT10" i="3"/>
  <c r="BB14" i="2" l="1"/>
  <c r="BA14" i="2"/>
  <c r="AZ14" i="2"/>
  <c r="AY14" i="2"/>
  <c r="AX14" i="2"/>
  <c r="AW14" i="2"/>
  <c r="AV14" i="2"/>
  <c r="AU14" i="2"/>
  <c r="BB11" i="2"/>
  <c r="BA11" i="2"/>
  <c r="AZ11" i="2"/>
  <c r="AY11" i="2"/>
  <c r="AX11" i="2"/>
  <c r="AW11" i="2"/>
  <c r="AV11" i="2"/>
  <c r="AU11" i="2"/>
</calcChain>
</file>

<file path=xl/sharedStrings.xml><?xml version="1.0" encoding="utf-8"?>
<sst xmlns="http://schemas.openxmlformats.org/spreadsheetml/2006/main" count="1631" uniqueCount="352">
  <si>
    <t>201 DIRECCIÓN SUPERIOR *</t>
  </si>
  <si>
    <t xml:space="preserve">FÍSICO </t>
  </si>
  <si>
    <t>PRESUPUESTO Q.</t>
  </si>
  <si>
    <t xml:space="preserve">NIVEL </t>
  </si>
  <si>
    <t>PG</t>
  </si>
  <si>
    <t>SP</t>
  </si>
  <si>
    <t>PY</t>
  </si>
  <si>
    <t>AC</t>
  </si>
  <si>
    <t>OB</t>
  </si>
  <si>
    <t>META</t>
  </si>
  <si>
    <t>DESCRIPCIÓN</t>
  </si>
  <si>
    <t>UNIDAD DE  MEDIDA</t>
  </si>
  <si>
    <t>POA</t>
  </si>
  <si>
    <t>INICIAL</t>
  </si>
  <si>
    <t>VIGENTE</t>
  </si>
  <si>
    <t>EJECUTADO ACUMULADO</t>
  </si>
  <si>
    <t>EJECUTADO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</si>
  <si>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</si>
  <si>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</si>
  <si>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</si>
  <si>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</si>
  <si>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</si>
  <si>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</si>
  <si>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</si>
  <si>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</si>
  <si>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</si>
  <si>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</si>
  <si>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</si>
  <si>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</si>
  <si>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ACTIVIDADES CENTRALES</t>
  </si>
  <si>
    <t>SIN SUBPROGRAMA</t>
  </si>
  <si>
    <t>SIN PROYECTO</t>
  </si>
  <si>
    <t>DIRECCIÓN SUPERIOR</t>
  </si>
  <si>
    <t>Dirección Superior</t>
  </si>
  <si>
    <t>Evento</t>
  </si>
  <si>
    <t>SERVICIOS ADMINISTRATIVOS</t>
  </si>
  <si>
    <t>Servicios administrativos</t>
  </si>
  <si>
    <t xml:space="preserve"> </t>
  </si>
  <si>
    <t>SERVICIOS FINANCIEROS</t>
  </si>
  <si>
    <t>Servicios financieros</t>
  </si>
  <si>
    <t>PARTIDAS NO ASIGNADAS A PROGRAMAS</t>
  </si>
  <si>
    <t>APORTES A ENTIDADES DE TRANSPORTE</t>
  </si>
  <si>
    <t>Personas jurídicas beneficiadas con aportes y/o cuotas para transporte</t>
  </si>
  <si>
    <t>Aporte</t>
  </si>
  <si>
    <t xml:space="preserve">APORTES Y CUOTAS A ORGANISMOS DE COMUNICACIONES </t>
  </si>
  <si>
    <t>Personas jurídicas beneficiadas con aportes y/o cuotas para comunicaciones</t>
  </si>
  <si>
    <t>CUOTAS A ORGANIZACIONES DE CONTROL DE MEDIO AMBIENTE</t>
  </si>
  <si>
    <t>Personas jurídicas beneficiadas con aportes y/o cuotas para control del medio ambiente</t>
  </si>
  <si>
    <t>Personas jurídicas beneficiadas con aporte y cuotas para control del medio ambiente</t>
  </si>
  <si>
    <t>MINISTERIO DE COMUNICACIONES, INFRAESTRUCTURA Y VIVIENDA</t>
  </si>
  <si>
    <t xml:space="preserve">SEGUIMIENTO DE FUNCIONAMIENTO </t>
  </si>
  <si>
    <t>POA FORMULACIÓN 2023</t>
  </si>
  <si>
    <t>POA FORMULACIÓN 2024</t>
  </si>
  <si>
    <t>POA FORMULACIÓN 2025</t>
  </si>
  <si>
    <t>META FÍSICA</t>
  </si>
  <si>
    <t>POA FORMULACIÓN 2026</t>
  </si>
  <si>
    <t>* DIRECCIÓN SUPERIOR NO INCLUYE INFORMACIÓN DE DTPs, DERIVADO QUE LA INFORMACIÓN DEL PROGRAMA 01 NO MIGRA ENTRE SISTEMAS.</t>
  </si>
  <si>
    <t>202  DIRECCIÓN GENERAL DE CAMINOS</t>
  </si>
  <si>
    <t>DESARROLLO DE LA INFRAESTRUCTURA VIAL</t>
  </si>
  <si>
    <t>DIRECCIÓN Y COORDINACIÓN</t>
  </si>
  <si>
    <t>Dirección y coordinación</t>
  </si>
  <si>
    <t>MANTENIMIENTO DE LA RED VIAL</t>
  </si>
  <si>
    <t>Red vial con servicios de mantenimiento</t>
  </si>
  <si>
    <t>Kilómetro</t>
  </si>
  <si>
    <t>Documento</t>
  </si>
  <si>
    <t>DTPs</t>
  </si>
  <si>
    <t>DPTs</t>
  </si>
  <si>
    <t>203  UNIDAD EJECUTORA DE CONSERVACIÓN VIAL</t>
  </si>
  <si>
    <t>FORUMULACIÓN POA 2023</t>
  </si>
  <si>
    <t>FORUMULACIÓN POA 2024</t>
  </si>
  <si>
    <t>FORUMULACIÓN POA 2025</t>
  </si>
  <si>
    <t>DESARROLLO DE LA INFRAESTRUCTURA VIAL PRIMARIA Y SECUNDARIA</t>
  </si>
  <si>
    <t>MANTENIMIENTO DE LA RED VIAL PAVIMENTADA (FIDEICOMISO)</t>
  </si>
  <si>
    <t>Red vial pavimentada con servicios de mantenimiento</t>
  </si>
  <si>
    <t>MANTENIMIENTO DE LA RED VIAL PAVIMENTADA (EJECUCION NORMAL)</t>
  </si>
  <si>
    <t>Red vial pavimentada con servicios de mantenimiento (Ejecución Normal)</t>
  </si>
  <si>
    <t>Red vial pavimentada con mantenimiento (ejecucion normal)</t>
  </si>
  <si>
    <t>DESARROLLO DE LA INFRAESTRUCTURA VIAL TERCIARIA</t>
  </si>
  <si>
    <t>MANTENIMIENTO DE LA RED VIAL TERCIARIA (FIDEICOMISO)</t>
  </si>
  <si>
    <t>Red vial terciaria con servicios de mantenimiento</t>
  </si>
  <si>
    <t>Red vial rural con servicios de mantenimiento</t>
  </si>
  <si>
    <t>MANTENIMIENTO DE LA RED VIAL TERCIARIA (EJECUCION NORMAL)</t>
  </si>
  <si>
    <t>Red vial terciaria con mantenimiento (ejecucion normal)</t>
  </si>
  <si>
    <t>Metro cuadrado</t>
  </si>
  <si>
    <t>FORUMULACIÓN POA 2026</t>
  </si>
  <si>
    <t>204   DIRECCIÓN GENERAL DE TRANSPORTES</t>
  </si>
  <si>
    <t>REGULACIÓN DE TRANSPORTE EXTRAURBANO POR CARRETERA</t>
  </si>
  <si>
    <t>REGULACION DE TRANSPORTE</t>
  </si>
  <si>
    <t>Regulación de transporte extraurbano y de carga por carretera</t>
  </si>
  <si>
    <t>Personas jurídicas o individuales con licencias otorgadas de transporte extraurbano de pasajeros por carretera</t>
  </si>
  <si>
    <t>Operativos de control fijo del servicio de transporte extraurbano</t>
  </si>
  <si>
    <t>Personas jurídicas o individuales con permisos temporales otorgados para el transporte extraurbano de pasajeros por carretera</t>
  </si>
  <si>
    <t>Personas jurídicas o individuales con licencias modificadas de transporte extraurbano de pasajeros por carretera</t>
  </si>
  <si>
    <t>Personas jurídicas o individuales con permisos expresos para el transporte extraurbano de pasajeros por carretera</t>
  </si>
  <si>
    <t>Personas jurídicas o individuales con constancias de registro de pilotos para el transporte extraurbano de pasajeros por carretera</t>
  </si>
  <si>
    <t>205   DIRECCION GENERAL DE AERONAUTICA CIVIL</t>
  </si>
  <si>
    <t>SERVICIOS AERONÁUTICOS Y AEROPORTUARIOS</t>
  </si>
  <si>
    <t>SERVICIOS A LA NAVEGACIÓN AÉREA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</si>
  <si>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</si>
  <si>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</si>
  <si>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</si>
  <si>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</si>
  <si>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</si>
  <si>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</si>
  <si>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</si>
  <si>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</si>
  <si>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inspección técnica</t>
  </si>
  <si>
    <t>Aeronaves nacionales y extranjeras con certificado de matrícula autorizada y renovada</t>
  </si>
  <si>
    <t>Aeronaves con servicios de pernocte en rampa internacional del aeropuerto</t>
  </si>
  <si>
    <t>SEGURIDAD AEROPORTUARIA</t>
  </si>
  <si>
    <t>SERVICIOS DE MANTENIMIENTO A LA INFRAESTRUCTURA AEROPORTUARIA</t>
  </si>
  <si>
    <t>Infraestructura de la red aeroportuaria nacional con  servicios de mantenimiento</t>
  </si>
  <si>
    <t>PARTIDAS NO ASIGNABLES A PROGRAMAS</t>
  </si>
  <si>
    <t>APORTES Y CUOTAS A ORGANISMOS DE COMUNICACIONES</t>
  </si>
  <si>
    <t>Personas jurídicas beneficiadas con
aportes y/o cuotas para comunicaciones</t>
  </si>
  <si>
    <t>Aeronaves con servicios operativos de aviación y soporte técnico</t>
  </si>
  <si>
    <t>206   UNIDAD DE CONSTRUCCION DE EDIFICIOS DEL ESTADO -UCEE-</t>
  </si>
  <si>
    <t xml:space="preserve">PRESUPUESTO Q. </t>
  </si>
  <si>
    <t>CONSTRUCCIÓN DE OBRA PÚBLICA</t>
  </si>
  <si>
    <t xml:space="preserve">Población estudiantil beneficiada con equipo educacional </t>
  </si>
  <si>
    <t>Remozamiento de Edificios Públicos</t>
  </si>
  <si>
    <t>Establecimientos educativos con módulos instalados para cocinas dignas</t>
  </si>
  <si>
    <t>Entidad</t>
  </si>
  <si>
    <t>207   DIRECCION GENERAL DE RADIODIFUSIÓN Y TELEVISION NACIONAL</t>
  </si>
  <si>
    <t>SERVICIOS DE RADIODIFUSIÓN Y TELEVISIÓN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</si>
  <si>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</si>
  <si>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</si>
  <si>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</si>
  <si>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Tecnicos con registro en radio y/o television</t>
  </si>
  <si>
    <t>Locutores registrados en radio y/o television</t>
  </si>
  <si>
    <t>SERVICIOS DE RADIODIFUSIÓN</t>
  </si>
  <si>
    <t>Servicios de radiodifusión</t>
  </si>
  <si>
    <t>Programas radiales a control remoto difundidos</t>
  </si>
  <si>
    <t>Programas radiales difundidos</t>
  </si>
  <si>
    <t>Spot gubernamentales otorgados a entidades públicas</t>
  </si>
  <si>
    <t xml:space="preserve">208   UNIDAD DE CONTROL Y SUPERVISIÓN DE CABLE   </t>
  </si>
  <si>
    <t>SERVICIOS DE CABLE POR TELEVISIÓN</t>
  </si>
  <si>
    <t>SERVICIOS DE REGULACIÓN Y SUPERVISIÓN DE EMPRESAS DE CABLE</t>
  </si>
  <si>
    <t>Empresas de cable con registro y supervisión</t>
  </si>
  <si>
    <t>Empresas de cable con visitas de supervisión</t>
  </si>
  <si>
    <t>Empresas de cable nuevas con registro</t>
  </si>
  <si>
    <t>Empresas sancionadas por incumplimiento a la ley del cable</t>
  </si>
  <si>
    <t>209   INSTITUTO NACIONAL DE SISMOLOGIA, VULCANOLOGIA, METEOROLOGIA E HIDROLOGIA</t>
  </si>
  <si>
    <t>SERVICIOS DE INFORMACIÓN SISMOLÓGICA, CLIMÁTICA, METEOROLÓGICA E HIDROLÓGICA</t>
  </si>
  <si>
    <t>SERVICIOS DE INFORMACIÓN CLIMÁTICA Y METEOROLÓGICA</t>
  </si>
  <si>
    <t>Boletin con información climática</t>
  </si>
  <si>
    <t>Usuarios atendidos con información climática</t>
  </si>
  <si>
    <t>Boletines emitidos con información meteorológica</t>
  </si>
  <si>
    <t>SERVICIOS DE INFORMACIÓN SISMOLÓGICA Y GEOLÓGICA</t>
  </si>
  <si>
    <t>Información de amenaza sísmica y volcánica registrada</t>
  </si>
  <si>
    <t>Boletines emitidos con información geológica</t>
  </si>
  <si>
    <t>Informes emitidos sobre deslizamiento de tierra</t>
  </si>
  <si>
    <t>SERVICIOS DE INFORMACIÓN HIDROLÓGICA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</si>
  <si>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</si>
  <si>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</si>
  <si>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</si>
  <si>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</si>
  <si>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CUOTAS A ORGANIZACIONES DE CONTROL DEL MEDIO AMBIENTE</t>
  </si>
  <si>
    <t>210   DIRECCIÓN GENERAL DE CORREOS Y TELÉGRAFOS</t>
  </si>
  <si>
    <t>SERVICIOS DE CORREOS Y TELÉGRAFOS</t>
  </si>
  <si>
    <t>SERVICIOS POSTALES</t>
  </si>
  <si>
    <t>Personas Individuales y/o Jurídicas con servicios postales otorgados</t>
  </si>
  <si>
    <t>Personas Jurídicas o individuales con servicion postales otorgados</t>
  </si>
  <si>
    <t>211  SUPERINTENDENCIA DE TELECOMUNICACIONES</t>
  </si>
  <si>
    <t>REGULACION DE TELECOMUNICACIONES</t>
  </si>
  <si>
    <t>REGULACIÓN DEL USO DE FRECUENCIAS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</si>
  <si>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</si>
  <si>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</si>
  <si>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</si>
  <si>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</si>
  <si>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</si>
  <si>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REGULACIÓN DE LA TELEFONÍA</t>
  </si>
  <si>
    <t>Recursos de telefonía regulados</t>
  </si>
  <si>
    <t>Operadores de telefonía registrados</t>
  </si>
  <si>
    <t>Registro</t>
  </si>
  <si>
    <t>Numeración asignada a personas jurídicas y /o individuales</t>
  </si>
  <si>
    <t>Puntos de señalización asignados a personas jurídicas y/o individuales</t>
  </si>
  <si>
    <t>Constancias de inscripción de usuarios jurídicos y/o individuales de telecomunicaciones móviles</t>
  </si>
  <si>
    <t>212  FONDO PARA EL DESARROLLO DE LA TELEFONÍA</t>
  </si>
  <si>
    <t>SERVICIOS PARA EL DESARROLLO DE LA TELEFONÍA</t>
  </si>
  <si>
    <t>DESARROLLO DE LA TELEFONÍA</t>
  </si>
  <si>
    <t>Personas beneficiadas con proyectos, supervisión de telefonía y conectividad subsidiados</t>
  </si>
  <si>
    <t>Personas beneficiadas con servicios de telefonía y conectividad subsidiados</t>
  </si>
  <si>
    <t>214  UNIDAD PARA EL DESARROLLO DE VIVIENDA POPULAR</t>
  </si>
  <si>
    <t>SERVICIOS DE URBANIZACIÓN, LEGALIZACIÓN, CONSTRUCCIÓN Y MEJORAMIENTO</t>
  </si>
  <si>
    <t>SERVICIOS DE ADJUDICACIÓN Y LEGALIZACION DE BIENES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</si>
  <si>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</si>
  <si>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</si>
  <si>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</si>
  <si>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</si>
  <si>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216  DIRECCIÓN GENERAL DE PROTECCIÓN Y SEGURIDAD VIAL</t>
  </si>
  <si>
    <t>SERVICIOS DE PROTECCIÓN Y SEGURIDAD VIAL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</si>
  <si>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</si>
  <si>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</si>
  <si>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</si>
  <si>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</si>
  <si>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</si>
  <si>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Personas capacitadas en el programa de educación y seguridad vial</t>
  </si>
  <si>
    <t>Elementos formados como brigadas de protección y seguridad vial en carretera</t>
  </si>
  <si>
    <t>Conductores atendidos con servicios de seguridad y asistencia vial en carretera</t>
  </si>
  <si>
    <t>Investigaciones realizadas de accidentes de tránsito en carreteras</t>
  </si>
  <si>
    <t>217  FONDO SOCIAL DE SOLIDARIDAD</t>
  </si>
  <si>
    <t>Direccion y Coordinacion (Convoyes)</t>
  </si>
  <si>
    <t>DESARROLLO DE LA VIVIENDA</t>
  </si>
  <si>
    <t>SERVICIOS DE URBANIZACION, LEGALIZACION, CONSTRUCCION Y MEJORAMIENTO DE BIENES INMUEBLES</t>
  </si>
  <si>
    <t>218   FONDO PARA LA VIVIENDA</t>
  </si>
  <si>
    <t xml:space="preserve">FISICO </t>
  </si>
  <si>
    <t>SUBSIDIO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</si>
  <si>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</si>
  <si>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</si>
  <si>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</si>
  <si>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</si>
  <si>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</si>
  <si>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</si>
  <si>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>6 productos</t>
  </si>
  <si>
    <t>6 subproductos</t>
  </si>
  <si>
    <t>2 productos</t>
  </si>
  <si>
    <t>2 subproductos</t>
  </si>
  <si>
    <t>5 productos</t>
  </si>
  <si>
    <t>5 subproductos</t>
  </si>
  <si>
    <t>2 produtos</t>
  </si>
  <si>
    <t>7 subproductos</t>
  </si>
  <si>
    <t>11 subproductos</t>
  </si>
  <si>
    <t>3 productos</t>
  </si>
  <si>
    <t>2 prductos</t>
  </si>
  <si>
    <t>10 subproductos</t>
  </si>
  <si>
    <t>3 subproductos</t>
  </si>
  <si>
    <t>4 productos</t>
  </si>
  <si>
    <t>8 subproductos</t>
  </si>
  <si>
    <t>total de productos civ        49</t>
  </si>
  <si>
    <t xml:space="preserve">total de subptos civ           93  </t>
  </si>
  <si>
    <t>ATENCION POR DESASTRES NATURALES Y CALAMIDADES PUBLICAS</t>
  </si>
  <si>
    <t>ESTADO DE CALAMIDAD PUBLICA POR DEPRESION TROPICAL ETA (DG 20-2020 Y 21-2020)</t>
  </si>
  <si>
    <t>INTERVENCIONES REALIZADAS PARA LA ATENCION DE DAÑOS PROVOCADOS POR DEPRESIÓN TROPICAL ETA</t>
  </si>
  <si>
    <t>Intervenciones realizadas para la atención de daños provocados por Depresión Tropical ETA</t>
  </si>
  <si>
    <t>MANTENIMIENTO Y CONSTRUCCION DE INFRAESTRUCTURA ESTRATEGICA (DECRETO 21-2022)</t>
  </si>
  <si>
    <t>MANTENIMIENTO DE LA RED VIAL, RUTAS CENTROAMERICANAS</t>
  </si>
  <si>
    <t>Red vial con servicios de rehabilitación</t>
  </si>
  <si>
    <t>SERVICIOS DE ASISTENCIA TECNICA Y ADQUISICION DE PUENTES</t>
  </si>
  <si>
    <t>Servicios de asistencia técnica y adquisición de puentes</t>
  </si>
  <si>
    <t>Adquisición de puentes bailey</t>
  </si>
  <si>
    <t>Red vial de rutas centroamericanas con servicios de mantenimiento</t>
  </si>
  <si>
    <t>Red vial con servicios de recapeo</t>
  </si>
  <si>
    <t>Red vial con servicios de señalización</t>
  </si>
  <si>
    <t>MANTENIMIENTO DE LA RED VIAL, RUTAS NACIONALES</t>
  </si>
  <si>
    <t>Red vial de rutas nacionales con servicios mantenimiento</t>
  </si>
  <si>
    <t>MANTENIMIENTO DE LA RED VIAL, RUTAS DEPARTAMENTALES</t>
  </si>
  <si>
    <t>Red vial de rutas departamentales con servicios de mantenimiento</t>
  </si>
  <si>
    <t>Asistencia técnica y control de calidad</t>
  </si>
  <si>
    <t>Remozamiento de edificios públicos para la atención de daños provocados por depresiones tropicales</t>
  </si>
  <si>
    <t xml:space="preserve">  </t>
  </si>
  <si>
    <t xml:space="preserve">JUNIO </t>
  </si>
  <si>
    <t>ESTADO DE CALAMIDAD PÚBLICA POR ÉPOCA LLUVIOSA, TEMPORADA CICLÓNICA Y SISTEMAS</t>
  </si>
  <si>
    <t>INTERVENCIONES REALIZADAS PARA LA ATENCIÓN DE LA EMERGENCIA
POR ÉPOCA LLUVIOSA, TEMPORADA CICLÓNICA Y SISTEMAS DE BAJA
PRESIÓN</t>
  </si>
  <si>
    <t>Intervenciones realizadas para la atención de la emergencia
por Época Lluviosa, Temporada Ciclónica y Sistema de Baja
Presión</t>
  </si>
  <si>
    <t>INTERVENCIONES REALIZADAS PARA LA ATENCIÓN DE LA EMERGENCIA</t>
  </si>
  <si>
    <t>POR ÉPOCA LLUVIOSA, TEMPORADA CICLÓNICA Y SISTEMAS DE BAJA</t>
  </si>
  <si>
    <t>ATENCION POR DESASTRES NATURALES Y CALAMIDADES PUBLICAS
11 ESTADO DE CALAMIDAD PUBLICA POR DEPRESION TROPICAL ETA (DG 20-2020 Y 21-2020)</t>
  </si>
  <si>
    <t>INTERVENCIONES REALIZADAS PARA LA ATENCION DE DAÑOS
PROVOCADOS POR DEPRESIÓN TROPICAL ETA</t>
  </si>
  <si>
    <t>Intervenciones realizadas para la atención de daños
provocados por Depresión Tropical ETA</t>
  </si>
  <si>
    <t xml:space="preserve">Documento </t>
  </si>
  <si>
    <t>DOCUMENTOS</t>
  </si>
  <si>
    <t>INTERVENCIONES REALIZADAS PARA LA ATENCIÓN DE LA EMERGENCIA
POR ÉPOCA LLUVIOSA, TEMPORADA CICLÓNICA Y SISTEMAS DE BAJA
PRESIÓNINTERVENCIONES REALIZADAS PARA LA ATENCIÓN DE LA EMERGENCIA PROVOCADA POR LOS EFECTOS DE LA ÉPOCA LLUVIOSA Y EL CICLÓN TROPICAL JULIA</t>
  </si>
  <si>
    <t>Intervenciones Realizadas Para La Atención De La Emergencia Provocada Por Los Efectos De La Época Lluviosa Y El Ciclón Tropical  Julia</t>
  </si>
  <si>
    <t>Familias Beneficiadas Con Subsidio Para Construcción De Vivienda Por Atención De Daños</t>
  </si>
  <si>
    <t>PROGRAMA PRESUPUESTARIO: ACTIVIDADES CENTRALES</t>
  </si>
  <si>
    <t>SERVICIOS FINANCIEROS DS</t>
  </si>
  <si>
    <t xml:space="preserve">SERVICIOS ADMINISTRATIVOS DS </t>
  </si>
  <si>
    <t>DIRECCION SUPERIOR DS</t>
  </si>
  <si>
    <t>.</t>
  </si>
  <si>
    <t xml:space="preserve">            </t>
  </si>
  <si>
    <t>PERSONAS JURIDICAS BENEFICIADAS CON APORTES YO CUOTAS PARA TRANSPORTE DS</t>
  </si>
  <si>
    <t>PERSONAS JURIDICAS BENEFICIADAS CON APORTES Y/O CUOTAS PARA COMUNIACIONES SIT</t>
  </si>
  <si>
    <t>PERSONAS JURIDICAS BENEFICIADAS CON APORTES YO CUOTAS PARA COMUNICACIONES DS</t>
  </si>
  <si>
    <t>PERSONAS JURIDICAS BENEFICIADAS CON APORTES YO CUOTAS PARA CONTROL DEL MEDIO AMBIENTE DS</t>
  </si>
  <si>
    <t>PERSONAS JURIDICAS BENEFICIADAS CON APORTES Y/O CUOTAS PARA COMUNICACIONES DGCT</t>
  </si>
  <si>
    <t xml:space="preserve"> PERSONAS JURIDICAS BENEFICIADAS CON APORTES Y/O CUOTAS PARA CONTROL DEL MEDIO AMBIENTE INSIVUMEH</t>
  </si>
  <si>
    <t>PERSONAS JURIDICAS BENEFICIADAS CON APORTES YO CUOTAS PARA COMUNICACIONES INSIVUMEH</t>
  </si>
  <si>
    <t>PERSONAS JURIDICAS BENEFICIADAS CON APORTES Y/O CUOTAS PARA COMUNICACIONES DGAC</t>
  </si>
  <si>
    <t>RED VIAL CON SERVICIOS DE MANTENIMIENTO FSS</t>
  </si>
  <si>
    <t>DIRECCION Y COORDINACION COVIAL</t>
  </si>
  <si>
    <t xml:space="preserve"> DIRECCION Y COORDINACION DGC</t>
  </si>
  <si>
    <t>RED VIAL CON SERVICIOS DE MANTENIMIENTO DGC</t>
  </si>
  <si>
    <t>DESARROLLO DE LA INFRAESTRUCTURA VIAL URBANA</t>
  </si>
  <si>
    <t>MEJORAMIENTO DE CALLES FSS</t>
  </si>
  <si>
    <t>RED VIAL TERCIARIA CON MANTENIMIENTO EJECUCION NORMAL COVIAL</t>
  </si>
  <si>
    <t>MEJORAMIENTO DE CAMINOS RURALES FSS</t>
  </si>
  <si>
    <t>CONSTRUCCION DE PUENTES EN CAMINOS RURALES DGC</t>
  </si>
  <si>
    <t>RED VIAL RURAL CON SERVICIOS DE MANTENIMIENTO FIDEICOMISO COVIAL</t>
  </si>
  <si>
    <t>AMPLIACION CONSTRUCCION MEJORAMIENTO Y RESPOSICION DE CAMINOS RURALES DGC</t>
  </si>
  <si>
    <t>AMPLIACION CONSTRUCCION MEJORAMIENTO Y RESPOSICION DE CAMINOS RURALES Y PUENTES FSS</t>
  </si>
  <si>
    <t>AMPLIACION CONSTRUCCION MEJORAMIENTO Y REPOSICION DE CARRETERAS SECUNDARIAS Y PUENTES FSS</t>
  </si>
  <si>
    <t>AMPLIACION CONSTRUCCION MEJORAMIENTO Y REPOSICION DE CARRETERAS SECUNDARIAS Y PUENTES DGC</t>
  </si>
  <si>
    <t>CONSTRUCCIÓN DE DISTRIBUIDORES DE TRÁNSITO DGC</t>
  </si>
  <si>
    <t>MEJORAMIENTO DE CARRETERAS SECUNDARIAS DGC</t>
  </si>
  <si>
    <t>RED VIAL PAVIMENTADA CON MANTENIMIENTO EJECUCION NORMAL COVIAL</t>
  </si>
  <si>
    <t>AMPLIACION CONSTRUCCION MEJORAMIENTO Y REPOSICION DE CARRETERAS PRIMARIAS, PUENTES Y DISTRIBUIDORES DE TRANSITO DGC</t>
  </si>
  <si>
    <t>RED VIAL PAVIMENTADA CON SERVICIOS DE MANTENIMIENTO FIDEICOMISO COVIAL</t>
  </si>
  <si>
    <t>AMPLIACION CONSTRUCCION MEJORAMIENTO Y REPOSICION DE CARRETERAS PRIMARIAS, PUENTES Y DISTRIBUIDORES DE TRANSITO FSS</t>
  </si>
  <si>
    <t>CONSTRUCCIÓN DE DISTRIBUIDORES DE TRÁNSITO FSS</t>
  </si>
  <si>
    <t>CONSTRUCCION DE OBRA PUBLICA</t>
  </si>
  <si>
    <t>AMPLIACION CONSTRUCCION MEJORAMIENTO Y REPOSICION DE ESTABLECIMIENTOS DE EDUCACION DIVERSIFICADA UCEE</t>
  </si>
  <si>
    <t>DIRECCION Y COORDINACION UCEE</t>
  </si>
  <si>
    <t>CONSTRUCCION, AMPLIACION, REPOSICION Y MEJORAMIENTO DE EDIFICIOS DE PLANIFICACION UCEE</t>
  </si>
  <si>
    <t>CONSTRUCCION DE EDIFICIOS NAVALES UCEE</t>
  </si>
  <si>
    <t>AMPLIACION CONSTRUCCION MEJORAMIENTO Y REPOSICION DE EDIFICIOS ADMINISTRATIVOS DE OTRAS ENTIDADES DEL GOBIERNO CENTRAL</t>
  </si>
  <si>
    <t>MANTENIMIENTO Y CONSTRUCCION DE INFRAESTRUCTURA ESTRATEGICA</t>
  </si>
  <si>
    <t>CONSTRUCCIÓN PASOS A DESNIVEL DGC</t>
  </si>
  <si>
    <t>RED VIAL DE RUTAS CENTROAMERICANAS CON SERVICIOS DE MANTENIMIENTO DGC</t>
  </si>
  <si>
    <t>CONSTRUCCION Y MEJORAMIENTO DE CARRETERAS, CALLES, PUENTES Y PASOS A DESNIVEL FSS</t>
  </si>
  <si>
    <t>SERVICIOS DE ASISTENCIA TECNICA Y ADQUISICION DE PUENTES COVIAL</t>
  </si>
  <si>
    <t>CONSTRUCCIÓN DE PUENTES DGC</t>
  </si>
  <si>
    <t>CONSTRUCCIÓN DE CARRETERAS DGC</t>
  </si>
  <si>
    <t>RED VIAL DE RUTAS NACIONALES CON SERVICIOS MANTENIMIENTO COVIAL</t>
  </si>
  <si>
    <t>CONSTRUCCION Y MEJORAMIENTO DE CARRETERAS, CALLES, PUENTES Y PASOS A DESNIVEL DGC</t>
  </si>
  <si>
    <t>RED VIAL DE RUTAS DEPARTAMENTALES CON SERVICIOS DE MANTENIMIENTO COVIAL</t>
  </si>
  <si>
    <t>SERVICIOS DE ASISTENCIA TECNICA Y ADQUISICION DE PUENTES DGC</t>
  </si>
  <si>
    <t>RED VIAL DE RUTAS CENTROAMERICANAS CON SERVICIOS DE MANTENIMIENTO COVIAL</t>
  </si>
  <si>
    <t>ESTADO DE CALAMIDAD PÚBLICA POR EPOCA LLUVIOSA, TEMPORADA CICLÓNICA Y SISTEMAS DE BAJA PRESIÓN</t>
  </si>
  <si>
    <t>CONSTRUCCIÓN, AMPLIACIÓN, REPOSICIÓN Y MEJORAMIENTO DE CARRETERAS Y PUENTES FSS</t>
  </si>
  <si>
    <t>REPOSICION DE PUENTE VEHICULAR</t>
  </si>
  <si>
    <t>INTERVENCIONES REALIZADAS PARA LA ATENCION DE LA EMERGENCIA POR EPOCA LLUVIOSA TEMPORADA CICLONICA Y SISTEMA DE BAJA PRESION DGC</t>
  </si>
  <si>
    <t>INTERVENCIONES REALIZADAS PARA LA ATENCION DE LA EMERGENCIA POR EPOCA LLUVIOSA TEMPORADA CICLONICA Y SISTEMA DE BAJA PRESION COVIAL</t>
  </si>
  <si>
    <t>INTERVENCIONES REALIZADAS PARA LA ATENCIÓN DE LA EMERGENCIA PROVOCADA POR LOS EFECTOS DE LA ÉPOCA LLUVIOSA Y EL CICLÓN TROPICAL JULIA UCEE</t>
  </si>
  <si>
    <t>REPOSICIÓN, AMPLIACIÓN, REPOSICIÓN Y MEJORAMIENTO DE CARRETERAS Y PUENTES DGC</t>
  </si>
  <si>
    <t>INTERVENCIONES REALIZADAS PARA LA ATENCION DE LA EMERGENCIA POR EPOCA DE LLUVIOSA TEMPORADA CICLONICA Y SISTEMA DE BAJA PRESION</t>
  </si>
  <si>
    <t>INTERVENCIONES REALIZADAS PARA LA ATENCIÓN DE LA EMERGENCIA PROVOCADA POR LOS EFECTOS DE LA ÉPOCA LLUVIOSA Y EL CICLÓN TROPICAL JULIA FSS</t>
  </si>
  <si>
    <t>INTERVENCIONES REALIZADAS PARA LA ATENCION DE LA EMERGENCIA POR EPOCA LLUVIOSA FSS</t>
  </si>
  <si>
    <t>INTERVENCIONES REALIZADAS PARA LA ATENCIÓN DE LA EMERGENCIA PROVOCADA POR LOS EFECTOS DE LA ÉPOCA LLUVIOSA Y EL CICLÓN TROPICAL JULIA DGC</t>
  </si>
  <si>
    <t>INTERVENCIONES REALIZADAS PARA LA ATENCIÓN DE LA EMERGENCIA PROVOCADA POR LOS EFECTOS DE LA ÉPOCA LLUVIOSA Y EL CICLÓN TROPICAL JULIA COVIAL</t>
  </si>
  <si>
    <t>REPOSICIÓN DE CARRETERAS POR EMERGENCIA DGC</t>
  </si>
  <si>
    <t>INTERVENCIONES REALIZADAS PARA LA ATENCION DE LA EMERGENCIA POR EPOCA LLUVIOSA TEMPORADA CICLONICA Y SISTEMA DE BAJA PRESION UCEE</t>
  </si>
  <si>
    <t>INTERVENCIONES REALIZADAS PARA LA ATENCION DE LA EMERGENCIA POR EPOCA LLUVIOSA TEMPORADA CICLONICA Y SISTEMA DE BAJA PRESION</t>
  </si>
  <si>
    <t>ATENCIÓN POR DESASTRES NATURALES Y CALAMIDADES PÚBLICAS</t>
  </si>
  <si>
    <t>ESTADO DE CALAMIDAD PÚBLICA POR DEPRESIÓN TROPICAL ETA</t>
  </si>
  <si>
    <t>INTERVENCIONES REALIZADAS PARA LA ATENCIÓN DE DAÑOS PROVOCADOS POR DEPRESIÓN TROPICAL ETA COVIAL</t>
  </si>
  <si>
    <t>INTERVENCIONES REALIZADAS PARA LA ATENCIÓN DE DAÑOS PROVOCADOS POR DEPRESIÓN TROPICAL ETA FSS</t>
  </si>
  <si>
    <t>INTERVENCIONES REALIZADAS PARA LA ATENCIÓN DE DAÑOS PROVOCADOS POR DEPRESIÓN TROPICAL ETA DGC</t>
  </si>
  <si>
    <t>INTERVENCIONES REALIZADAS PARA LA ATENCIÓN DE DAÑOS PROVOCADOS POR DEPRESIÓN TROPICAL ETA UCEE</t>
  </si>
  <si>
    <t>DS</t>
  </si>
  <si>
    <t>SI</t>
  </si>
  <si>
    <t>DGC</t>
  </si>
  <si>
    <t>CONSTRUCCION DE MUROS DE CONTENCION UDEVIPO</t>
  </si>
  <si>
    <t>FAMILIAS BENEFICIADAS CON ADJUDICACION DE PROPIEDAD DE VIVIENDA UDEVIPO</t>
  </si>
  <si>
    <t>DIRECCION Y COORDINACION UDEVIPO</t>
  </si>
  <si>
    <t>AMPLIACION CONSTRUCCION MEJORAMIENTO Y REPOSICION DE SISTEMAS DE AGUAS PLUVIALES FSS</t>
  </si>
  <si>
    <t>DIRECCION Y COORDINACION FSS</t>
  </si>
  <si>
    <t>PROVEEDORES USUARIOS Y USUFRUCTUARIOS DE FRECUENCIAS CON SERVICIOS DE REGULACION SIT</t>
  </si>
  <si>
    <t>DIRECCION Y COORDINACION SIT</t>
  </si>
  <si>
    <t>RECURSOS DE TELEFONIA REGULADOS SIT</t>
  </si>
  <si>
    <t>EJERCICIO FISCAL 2022 - ACTUALIZADA DICIEMBRE</t>
  </si>
  <si>
    <t xml:space="preserve">EJERCICIO FISCAL 2022 - ACTUALIZADA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</si>
</sst>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Q&quot;* #,##0_-;\-&quot;Q&quot;* #,##0_-;_-&quot;Q&quot;* &quot;-&quot;_-;_-@_-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_);_(* \(#,##0\);_(* &quot;-&quot;??_);_(@_)"/>
    <numFmt numFmtId="165" formatCode="_(&quot;Q&quot;* #,##0.00_);_(&quot;Q&quot;* \(#,##0.00\);_(&quot;Q&quot;* &quot;-&quot;??_);_(@_)"/>
    <numFmt numFmtId="166" formatCode="_-[$Q-100A]* #,##0.00_ ;_-[$Q-100A]* \-#,##0.00\ ;_-[$Q-100A]* &quot;-&quot;??_ ;_-@_ "/>
    <numFmt numFmtId="167" formatCode="0.0000"/>
  </numFmts>
  <fonts count="28" x14ac:knownFonts="1">
    <font>
      <sz val="11"/>
      <color theme="1"/>
      <name val="Calibri"/>
      <family val="2"/>
      <scheme val="minor"/>
    </font>
    <font>
      <b/>
      <i/>
      <sz val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color indexed="8"/>
      <name val="Calibri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sz val="9"/>
      <name val="Book Antiqua"/>
      <family val="1"/>
    </font>
    <font>
      <sz val="9"/>
      <color theme="1"/>
      <name val="Book Antiqua"/>
      <family val="1"/>
    </font>
    <font>
      <i/>
      <sz val="10"/>
      <name val="Book Antiqua"/>
      <family val="1"/>
    </font>
    <font>
      <b/>
      <sz val="15"/>
      <color rgb="FF1F497D"/>
      <name val="Calibri"/>
      <family val="2"/>
      <charset val="1"/>
    </font>
    <font>
      <sz val="10"/>
      <color rgb="FF00000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Book Antiqua"/>
      <family val="1"/>
    </font>
    <font>
      <b/>
      <i/>
      <sz val="16"/>
      <color theme="1"/>
      <name val="Calibri"/>
      <family val="2"/>
      <scheme val="minor"/>
    </font>
    <font>
      <sz val="10"/>
      <color rgb="FFFF0000"/>
      <name val="Book Antiqua"/>
      <family val="1"/>
    </font>
    <font>
      <b/>
      <sz val="10"/>
      <color rgb="FFFF0000"/>
      <name val="Book Antiqua"/>
      <family val="1"/>
    </font>
    <font>
      <sz val="8"/>
      <color rgb="FF000000"/>
      <name val="Verdana"/>
      <family val="2"/>
    </font>
    <font>
      <b/>
      <sz val="8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0" fillId="0" borderId="0"/>
    <xf numFmtId="0" fontId="12" fillId="0" borderId="0"/>
    <xf numFmtId="0" fontId="19" fillId="0" borderId="18" applyProtection="0"/>
    <xf numFmtId="0" fontId="20" fillId="0" borderId="0"/>
    <xf numFmtId="0" fontId="12" fillId="0" borderId="0"/>
  </cellStyleXfs>
  <cellXfs count="4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/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textRotation="90"/>
    </xf>
    <xf numFmtId="0" fontId="7" fillId="2" borderId="14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/>
    </xf>
    <xf numFmtId="164" fontId="7" fillId="2" borderId="14" xfId="1" applyNumberFormat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 wrapText="1"/>
    </xf>
    <xf numFmtId="164" fontId="7" fillId="2" borderId="16" xfId="1" applyNumberFormat="1" applyFont="1" applyFill="1" applyBorder="1" applyAlignment="1">
      <alignment horizontal="center" vertical="center" wrapText="1"/>
    </xf>
    <xf numFmtId="164" fontId="7" fillId="2" borderId="13" xfId="1" applyNumberFormat="1" applyFont="1" applyFill="1" applyBorder="1" applyAlignment="1">
      <alignment horizontal="center" vertical="center"/>
    </xf>
    <xf numFmtId="0" fontId="9" fillId="0" borderId="0" xfId="0" applyFont="1"/>
    <xf numFmtId="0" fontId="0" fillId="4" borderId="0" xfId="0" applyFill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44" fontId="2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4" fontId="3" fillId="0" borderId="9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7" fillId="2" borderId="13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wrapText="1"/>
    </xf>
    <xf numFmtId="44" fontId="2" fillId="3" borderId="9" xfId="1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4" fontId="0" fillId="0" borderId="9" xfId="0" applyNumberFormat="1" applyBorder="1"/>
    <xf numFmtId="4" fontId="14" fillId="0" borderId="9" xfId="0" applyNumberFormat="1" applyFont="1" applyBorder="1" applyAlignment="1">
      <alignment vertical="center"/>
    </xf>
    <xf numFmtId="4" fontId="13" fillId="0" borderId="9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4" fontId="14" fillId="0" borderId="11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7" fillId="2" borderId="14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/>
    </xf>
    <xf numFmtId="44" fontId="13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44" fontId="14" fillId="0" borderId="9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/>
    </xf>
    <xf numFmtId="44" fontId="3" fillId="0" borderId="9" xfId="0" applyNumberFormat="1" applyFont="1" applyBorder="1" applyAlignment="1">
      <alignment horizontal="center"/>
    </xf>
    <xf numFmtId="0" fontId="2" fillId="0" borderId="0" xfId="0" applyFont="1"/>
    <xf numFmtId="3" fontId="2" fillId="0" borderId="9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3" fontId="2" fillId="0" borderId="9" xfId="3" applyNumberFormat="1" applyFont="1" applyBorder="1" applyAlignment="1">
      <alignment horizontal="center"/>
    </xf>
    <xf numFmtId="44" fontId="2" fillId="0" borderId="9" xfId="0" applyNumberFormat="1" applyFont="1" applyBorder="1" applyAlignment="1">
      <alignment horizontal="right"/>
    </xf>
    <xf numFmtId="44" fontId="2" fillId="0" borderId="9" xfId="0" applyNumberFormat="1" applyFont="1" applyBorder="1" applyAlignment="1">
      <alignment horizontal="center"/>
    </xf>
    <xf numFmtId="10" fontId="2" fillId="0" borderId="0" xfId="4" applyNumberFormat="1" applyFont="1"/>
    <xf numFmtId="44" fontId="2" fillId="0" borderId="9" xfId="0" applyNumberFormat="1" applyFont="1" applyBorder="1"/>
    <xf numFmtId="0" fontId="3" fillId="0" borderId="11" xfId="0" applyFont="1" applyBorder="1" applyAlignment="1">
      <alignment horizontal="center" vertical="center" wrapText="1"/>
    </xf>
    <xf numFmtId="10" fontId="3" fillId="0" borderId="0" xfId="4" applyNumberFormat="1" applyFont="1"/>
    <xf numFmtId="3" fontId="3" fillId="0" borderId="9" xfId="3" applyNumberFormat="1" applyFont="1" applyBorder="1" applyAlignment="1">
      <alignment horizontal="center"/>
    </xf>
    <xf numFmtId="44" fontId="3" fillId="0" borderId="9" xfId="0" applyNumberFormat="1" applyFont="1" applyBorder="1" applyAlignment="1">
      <alignment horizontal="right"/>
    </xf>
    <xf numFmtId="0" fontId="13" fillId="0" borderId="9" xfId="0" applyFont="1" applyBorder="1" applyAlignment="1">
      <alignment horizontal="center" wrapText="1"/>
    </xf>
    <xf numFmtId="44" fontId="13" fillId="0" borderId="9" xfId="0" applyNumberFormat="1" applyFont="1" applyBorder="1" applyAlignment="1">
      <alignment horizontal="right" wrapText="1"/>
    </xf>
    <xf numFmtId="0" fontId="14" fillId="0" borderId="0" xfId="0" applyFont="1"/>
    <xf numFmtId="0" fontId="16" fillId="0" borderId="0" xfId="0" applyFont="1"/>
    <xf numFmtId="0" fontId="2" fillId="5" borderId="9" xfId="0" applyFont="1" applyFill="1" applyBorder="1" applyAlignment="1">
      <alignment horizontal="center" vertical="center"/>
    </xf>
    <xf numFmtId="4" fontId="13" fillId="5" borderId="9" xfId="2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 wrapText="1"/>
    </xf>
    <xf numFmtId="44" fontId="7" fillId="3" borderId="9" xfId="3" applyFont="1" applyFill="1" applyBorder="1" applyAlignment="1">
      <alignment horizontal="center" vertical="center" wrapText="1"/>
    </xf>
    <xf numFmtId="44" fontId="3" fillId="0" borderId="9" xfId="0" applyNumberFormat="1" applyFont="1" applyBorder="1"/>
    <xf numFmtId="42" fontId="2" fillId="0" borderId="9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3" fontId="3" fillId="0" borderId="9" xfId="5" applyNumberFormat="1" applyFont="1" applyBorder="1" applyAlignment="1">
      <alignment horizontal="center" vertical="center" wrapText="1"/>
    </xf>
    <xf numFmtId="166" fontId="3" fillId="0" borderId="9" xfId="6" applyNumberFormat="1" applyFont="1" applyFill="1" applyBorder="1" applyAlignment="1">
      <alignment vertical="center" wrapText="1"/>
    </xf>
    <xf numFmtId="166" fontId="3" fillId="0" borderId="9" xfId="6" applyNumberFormat="1" applyFont="1" applyFill="1" applyBorder="1" applyAlignment="1">
      <alignment horizontal="center" vertical="center" wrapText="1"/>
    </xf>
    <xf numFmtId="0" fontId="17" fillId="0" borderId="0" xfId="0" applyFont="1"/>
    <xf numFmtId="4" fontId="1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4" fontId="2" fillId="0" borderId="9" xfId="3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3" fillId="0" borderId="9" xfId="3" applyNumberFormat="1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/>
    </xf>
    <xf numFmtId="4" fontId="3" fillId="0" borderId="13" xfId="3" applyNumberFormat="1" applyFont="1" applyBorder="1" applyAlignment="1">
      <alignment horizontal="center" vertical="center"/>
    </xf>
    <xf numFmtId="4" fontId="3" fillId="0" borderId="14" xfId="3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4" fontId="11" fillId="0" borderId="9" xfId="0" applyNumberFormat="1" applyFont="1" applyBorder="1"/>
    <xf numFmtId="4" fontId="3" fillId="0" borderId="0" xfId="0" applyNumberFormat="1" applyFont="1"/>
    <xf numFmtId="4" fontId="2" fillId="0" borderId="9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3" fillId="0" borderId="0" xfId="4" applyNumberFormat="1" applyFont="1" applyAlignment="1">
      <alignment horizontal="center" vertical="center"/>
    </xf>
    <xf numFmtId="4" fontId="13" fillId="0" borderId="9" xfId="0" applyNumberFormat="1" applyFont="1" applyBorder="1" applyAlignment="1">
      <alignment horizontal="right" vertical="center"/>
    </xf>
    <xf numFmtId="4" fontId="2" fillId="0" borderId="9" xfId="9" applyNumberFormat="1" applyFont="1" applyBorder="1" applyAlignment="1">
      <alignment horizontal="right" vertical="center" wrapText="1"/>
    </xf>
    <xf numFmtId="4" fontId="2" fillId="0" borderId="9" xfId="9" applyNumberFormat="1" applyFont="1" applyBorder="1" applyAlignment="1">
      <alignment horizontal="right" vertical="center"/>
    </xf>
    <xf numFmtId="4" fontId="2" fillId="0" borderId="9" xfId="6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4" fontId="18" fillId="0" borderId="9" xfId="0" applyNumberFormat="1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" fillId="0" borderId="8" xfId="11" applyFont="1" applyBorder="1" applyAlignment="1">
      <alignment horizontal="center" vertical="center"/>
    </xf>
    <xf numFmtId="0" fontId="2" fillId="0" borderId="9" xfId="11" applyFont="1" applyBorder="1" applyAlignment="1">
      <alignment horizontal="center" vertical="center"/>
    </xf>
    <xf numFmtId="4" fontId="2" fillId="0" borderId="9" xfId="11" applyNumberFormat="1" applyFont="1" applyBorder="1" applyAlignment="1">
      <alignment horizontal="center" vertical="center"/>
    </xf>
    <xf numFmtId="4" fontId="2" fillId="0" borderId="11" xfId="11" applyNumberFormat="1" applyFont="1" applyBorder="1" applyAlignment="1">
      <alignment horizontal="center" vertical="center"/>
    </xf>
    <xf numFmtId="0" fontId="3" fillId="0" borderId="9" xfId="11" applyFont="1" applyBorder="1" applyAlignment="1">
      <alignment horizontal="center" vertical="center"/>
    </xf>
    <xf numFmtId="4" fontId="3" fillId="0" borderId="9" xfId="11" applyNumberFormat="1" applyFont="1" applyBorder="1" applyAlignment="1">
      <alignment horizontal="center" vertical="center"/>
    </xf>
    <xf numFmtId="4" fontId="3" fillId="0" borderId="11" xfId="11" applyNumberFormat="1" applyFont="1" applyBorder="1" applyAlignment="1">
      <alignment horizontal="center" vertical="center"/>
    </xf>
    <xf numFmtId="0" fontId="3" fillId="0" borderId="9" xfId="11" applyFont="1" applyBorder="1" applyAlignment="1">
      <alignment horizontal="left" vertical="center" wrapText="1"/>
    </xf>
    <xf numFmtId="0" fontId="2" fillId="0" borderId="9" xfId="11" applyFont="1" applyBorder="1" applyAlignment="1">
      <alignment horizontal="left" vertical="center" wrapText="1"/>
    </xf>
    <xf numFmtId="4" fontId="3" fillId="0" borderId="9" xfId="3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11" applyFont="1" applyAlignment="1">
      <alignment horizontal="left" vertical="center" wrapText="1"/>
    </xf>
    <xf numFmtId="0" fontId="23" fillId="0" borderId="0" xfId="0" applyFont="1"/>
    <xf numFmtId="3" fontId="3" fillId="0" borderId="9" xfId="0" applyNumberFormat="1" applyFont="1" applyBorder="1" applyAlignment="1">
      <alignment horizontal="center" vertical="center" wrapText="1"/>
    </xf>
    <xf numFmtId="44" fontId="3" fillId="0" borderId="9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/>
    </xf>
    <xf numFmtId="4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center" vertical="center"/>
    </xf>
    <xf numFmtId="4" fontId="3" fillId="5" borderId="11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center" vertical="center"/>
    </xf>
    <xf numFmtId="4" fontId="2" fillId="5" borderId="11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4" fontId="1" fillId="5" borderId="3" xfId="0" applyNumberFormat="1" applyFont="1" applyFill="1" applyBorder="1" applyAlignment="1">
      <alignment horizontal="center" vertical="center"/>
    </xf>
    <xf numFmtId="4" fontId="1" fillId="5" borderId="4" xfId="0" applyNumberFormat="1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4" fontId="1" fillId="5" borderId="9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horizontal="left" vertical="center"/>
    </xf>
    <xf numFmtId="4" fontId="2" fillId="5" borderId="14" xfId="0" applyNumberFormat="1" applyFont="1" applyFill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0" fillId="0" borderId="0" xfId="0" applyNumberFormat="1"/>
    <xf numFmtId="4" fontId="25" fillId="5" borderId="9" xfId="2" applyNumberFormat="1" applyFont="1" applyFill="1" applyBorder="1" applyAlignment="1">
      <alignment horizontal="center" vertical="center"/>
    </xf>
    <xf numFmtId="4" fontId="24" fillId="6" borderId="9" xfId="0" applyNumberFormat="1" applyFont="1" applyFill="1" applyBorder="1" applyAlignment="1">
      <alignment vertical="center"/>
    </xf>
    <xf numFmtId="4" fontId="25" fillId="0" borderId="9" xfId="0" applyNumberFormat="1" applyFont="1" applyBorder="1" applyAlignment="1">
      <alignment horizontal="center" vertical="center"/>
    </xf>
    <xf numFmtId="4" fontId="2" fillId="5" borderId="9" xfId="2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/>
    <xf numFmtId="0" fontId="11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4" fontId="13" fillId="0" borderId="9" xfId="2" applyNumberFormat="1" applyFont="1" applyFill="1" applyBorder="1" applyAlignment="1">
      <alignment horizontal="center" vertical="center"/>
    </xf>
    <xf numFmtId="10" fontId="2" fillId="0" borderId="0" xfId="4" applyNumberFormat="1" applyFont="1" applyFill="1"/>
    <xf numFmtId="3" fontId="2" fillId="0" borderId="9" xfId="3" applyNumberFormat="1" applyFont="1" applyFill="1" applyBorder="1" applyAlignment="1">
      <alignment horizontal="center"/>
    </xf>
    <xf numFmtId="10" fontId="3" fillId="0" borderId="0" xfId="4" applyNumberFormat="1" applyFont="1" applyFill="1"/>
    <xf numFmtId="3" fontId="3" fillId="0" borderId="9" xfId="3" applyNumberFormat="1" applyFont="1" applyFill="1" applyBorder="1" applyAlignment="1">
      <alignment horizontal="center"/>
    </xf>
    <xf numFmtId="4" fontId="2" fillId="0" borderId="9" xfId="2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wrapText="1"/>
    </xf>
    <xf numFmtId="44" fontId="14" fillId="0" borderId="9" xfId="0" applyNumberFormat="1" applyFont="1" applyBorder="1" applyAlignment="1">
      <alignment horizontal="right" wrapText="1"/>
    </xf>
    <xf numFmtId="43" fontId="0" fillId="0" borderId="0" xfId="2" applyFont="1"/>
    <xf numFmtId="2" fontId="0" fillId="0" borderId="0" xfId="0" applyNumberFormat="1"/>
    <xf numFmtId="4" fontId="14" fillId="0" borderId="0" xfId="0" applyNumberFormat="1" applyFont="1"/>
    <xf numFmtId="0" fontId="0" fillId="0" borderId="9" xfId="0" applyBorder="1" applyAlignment="1">
      <alignment horizontal="center" vertical="center"/>
    </xf>
    <xf numFmtId="0" fontId="0" fillId="0" borderId="10" xfId="0" applyBorder="1"/>
    <xf numFmtId="4" fontId="3" fillId="0" borderId="10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3" fontId="2" fillId="2" borderId="2" xfId="2" applyFont="1" applyFill="1" applyBorder="1" applyAlignment="1">
      <alignment horizontal="center" vertical="center" wrapText="1"/>
    </xf>
    <xf numFmtId="43" fontId="3" fillId="0" borderId="9" xfId="2" applyFont="1" applyBorder="1" applyAlignment="1">
      <alignment horizontal="center" vertical="center"/>
    </xf>
    <xf numFmtId="43" fontId="2" fillId="0" borderId="9" xfId="2" applyFont="1" applyBorder="1" applyAlignment="1">
      <alignment horizontal="center" vertical="center"/>
    </xf>
    <xf numFmtId="43" fontId="3" fillId="0" borderId="14" xfId="2" applyFont="1" applyBorder="1" applyAlignment="1">
      <alignment horizontal="center" vertical="center"/>
    </xf>
    <xf numFmtId="43" fontId="14" fillId="0" borderId="0" xfId="2" applyFont="1"/>
    <xf numFmtId="43" fontId="14" fillId="0" borderId="0" xfId="2" applyFont="1" applyAlignment="1">
      <alignment horizontal="center" vertical="center"/>
    </xf>
    <xf numFmtId="43" fontId="3" fillId="0" borderId="0" xfId="2" applyFont="1"/>
    <xf numFmtId="43" fontId="0" fillId="0" borderId="9" xfId="2" applyFont="1" applyBorder="1" applyAlignment="1">
      <alignment horizontal="center" vertical="center"/>
    </xf>
    <xf numFmtId="43" fontId="0" fillId="0" borderId="9" xfId="2" applyFont="1" applyBorder="1"/>
    <xf numFmtId="0" fontId="7" fillId="2" borderId="9" xfId="1" applyFont="1" applyFill="1" applyBorder="1" applyAlignment="1">
      <alignment horizontal="center" vertical="center" textRotation="90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 wrapText="1"/>
    </xf>
    <xf numFmtId="0" fontId="3" fillId="0" borderId="9" xfId="11" applyFont="1" applyBorder="1" applyAlignment="1">
      <alignment horizontal="center" vertical="center" wrapText="1"/>
    </xf>
    <xf numFmtId="0" fontId="18" fillId="0" borderId="9" xfId="11" applyFont="1" applyBorder="1" applyAlignment="1">
      <alignment horizontal="center" vertical="center" wrapText="1"/>
    </xf>
    <xf numFmtId="0" fontId="2" fillId="0" borderId="9" xfId="1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textRotation="90"/>
    </xf>
    <xf numFmtId="164" fontId="7" fillId="2" borderId="11" xfId="1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3" fillId="0" borderId="14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" fontId="14" fillId="0" borderId="14" xfId="0" applyNumberFormat="1" applyFont="1" applyBorder="1" applyAlignment="1">
      <alignment vertical="center"/>
    </xf>
    <xf numFmtId="0" fontId="2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3" fontId="7" fillId="2" borderId="9" xfId="2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horizontal="center" vertical="center" wrapText="1"/>
    </xf>
    <xf numFmtId="43" fontId="7" fillId="2" borderId="11" xfId="2" applyFont="1" applyFill="1" applyBorder="1" applyAlignment="1">
      <alignment horizontal="center" vertical="center" wrapText="1"/>
    </xf>
    <xf numFmtId="43" fontId="2" fillId="0" borderId="11" xfId="2" applyFont="1" applyBorder="1" applyAlignment="1">
      <alignment horizontal="center" vertical="center"/>
    </xf>
    <xf numFmtId="43" fontId="3" fillId="0" borderId="11" xfId="2" applyFont="1" applyBorder="1" applyAlignment="1">
      <alignment horizontal="center" vertical="center"/>
    </xf>
    <xf numFmtId="43" fontId="3" fillId="0" borderId="15" xfId="2" applyFont="1" applyBorder="1" applyAlignment="1">
      <alignment horizontal="center" vertical="center"/>
    </xf>
    <xf numFmtId="43" fontId="7" fillId="2" borderId="9" xfId="2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textRotation="90" wrapText="1"/>
    </xf>
    <xf numFmtId="0" fontId="7" fillId="2" borderId="8" xfId="1" applyFont="1" applyFill="1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4" fontId="2" fillId="5" borderId="17" xfId="0" applyNumberFormat="1" applyFont="1" applyFill="1" applyBorder="1" applyAlignment="1">
      <alignment horizontal="center" vertical="center"/>
    </xf>
    <xf numFmtId="4" fontId="2" fillId="5" borderId="12" xfId="0" applyNumberFormat="1" applyFont="1" applyFill="1" applyBorder="1" applyAlignment="1">
      <alignment horizontal="center" vertical="center"/>
    </xf>
    <xf numFmtId="4" fontId="3" fillId="5" borderId="12" xfId="0" applyNumberFormat="1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6" fillId="0" borderId="0" xfId="0" applyFont="1"/>
    <xf numFmtId="0" fontId="27" fillId="0" borderId="0" xfId="0" applyFont="1"/>
    <xf numFmtId="0" fontId="11" fillId="0" borderId="0" xfId="0" applyFont="1"/>
    <xf numFmtId="0" fontId="2" fillId="0" borderId="9" xfId="0" applyFont="1" applyBorder="1" applyAlignment="1">
      <alignment vertical="center" wrapText="1"/>
    </xf>
    <xf numFmtId="0" fontId="5" fillId="0" borderId="9" xfId="0" applyFont="1" applyBorder="1"/>
    <xf numFmtId="2" fontId="5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 vertical="center"/>
    </xf>
    <xf numFmtId="43" fontId="0" fillId="0" borderId="0" xfId="2" applyFont="1" applyFill="1"/>
    <xf numFmtId="0" fontId="3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4" fontId="24" fillId="0" borderId="9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13" fillId="5" borderId="22" xfId="2" applyNumberFormat="1" applyFont="1" applyFill="1" applyBorder="1" applyAlignment="1">
      <alignment horizontal="center" vertical="center"/>
    </xf>
    <xf numFmtId="4" fontId="13" fillId="0" borderId="22" xfId="2" applyNumberFormat="1" applyFont="1" applyFill="1" applyBorder="1" applyAlignment="1">
      <alignment horizontal="center" vertical="center"/>
    </xf>
    <xf numFmtId="4" fontId="14" fillId="0" borderId="22" xfId="0" applyNumberFormat="1" applyFont="1" applyBorder="1" applyAlignment="1">
      <alignment vertical="center"/>
    </xf>
    <xf numFmtId="164" fontId="7" fillId="2" borderId="19" xfId="1" applyNumberFormat="1" applyFont="1" applyFill="1" applyBorder="1" applyAlignment="1">
      <alignment horizontal="center" vertical="center"/>
    </xf>
    <xf numFmtId="164" fontId="7" fillId="2" borderId="19" xfId="1" applyNumberFormat="1" applyFont="1" applyFill="1" applyBorder="1" applyAlignment="1">
      <alignment horizontal="center" vertical="center" wrapText="1"/>
    </xf>
    <xf numFmtId="164" fontId="7" fillId="2" borderId="23" xfId="1" applyNumberFormat="1" applyFont="1" applyFill="1" applyBorder="1" applyAlignment="1">
      <alignment horizontal="center" vertical="center" wrapText="1"/>
    </xf>
    <xf numFmtId="164" fontId="7" fillId="2" borderId="20" xfId="1" applyNumberFormat="1" applyFont="1" applyFill="1" applyBorder="1" applyAlignment="1">
      <alignment horizontal="center" vertical="center" wrapText="1"/>
    </xf>
    <xf numFmtId="0" fontId="14" fillId="0" borderId="9" xfId="0" applyFont="1" applyBorder="1"/>
    <xf numFmtId="4" fontId="14" fillId="0" borderId="9" xfId="0" applyNumberFormat="1" applyFont="1" applyBorder="1"/>
    <xf numFmtId="43" fontId="7" fillId="2" borderId="14" xfId="2" applyFont="1" applyFill="1" applyBorder="1" applyAlignment="1">
      <alignment horizontal="center" vertical="center" wrapText="1"/>
    </xf>
    <xf numFmtId="4" fontId="2" fillId="5" borderId="15" xfId="0" applyNumberFormat="1" applyFont="1" applyFill="1" applyBorder="1" applyAlignment="1">
      <alignment horizontal="center" vertical="center"/>
    </xf>
    <xf numFmtId="4" fontId="0" fillId="0" borderId="9" xfId="0" applyNumberFormat="1" applyBorder="1" applyAlignment="1">
      <alignment vertical="center"/>
    </xf>
    <xf numFmtId="4" fontId="0" fillId="0" borderId="11" xfId="0" applyNumberFormat="1" applyBorder="1"/>
    <xf numFmtId="4" fontId="0" fillId="0" borderId="1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64" fontId="7" fillId="2" borderId="26" xfId="1" applyNumberFormat="1" applyFont="1" applyFill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164" fontId="7" fillId="2" borderId="24" xfId="1" applyNumberFormat="1" applyFont="1" applyFill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4" fontId="3" fillId="6" borderId="9" xfId="0" applyNumberFormat="1" applyFont="1" applyFill="1" applyBorder="1" applyAlignment="1">
      <alignment horizontal="center" vertical="center"/>
    </xf>
    <xf numFmtId="4" fontId="2" fillId="6" borderId="9" xfId="0" applyNumberFormat="1" applyFont="1" applyFill="1" applyBorder="1" applyAlignment="1">
      <alignment horizontal="center" vertical="center"/>
    </xf>
    <xf numFmtId="43" fontId="3" fillId="5" borderId="4" xfId="2" applyFont="1" applyFill="1" applyBorder="1" applyAlignment="1">
      <alignment horizontal="center" vertical="center"/>
    </xf>
    <xf numFmtId="43" fontId="3" fillId="5" borderId="9" xfId="2" applyFont="1" applyFill="1" applyBorder="1" applyAlignment="1">
      <alignment horizontal="center" vertical="center"/>
    </xf>
    <xf numFmtId="43" fontId="2" fillId="5" borderId="9" xfId="2" applyFont="1" applyFill="1" applyBorder="1" applyAlignment="1">
      <alignment horizontal="center" vertical="center"/>
    </xf>
    <xf numFmtId="43" fontId="0" fillId="0" borderId="0" xfId="2" applyFont="1" applyAlignment="1">
      <alignment horizontal="center" vertical="center"/>
    </xf>
    <xf numFmtId="4" fontId="25" fillId="6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11" applyFont="1" applyFill="1" applyBorder="1" applyAlignment="1">
      <alignment horizontal="center" vertical="center"/>
    </xf>
    <xf numFmtId="0" fontId="2" fillId="2" borderId="2" xfId="11" applyFont="1" applyFill="1" applyBorder="1" applyAlignment="1">
      <alignment horizontal="center" vertical="center"/>
    </xf>
    <xf numFmtId="0" fontId="2" fillId="2" borderId="2" xfId="11" applyFont="1" applyFill="1" applyBorder="1" applyAlignment="1">
      <alignment horizontal="center" vertical="center" wrapText="1"/>
    </xf>
    <xf numFmtId="0" fontId="2" fillId="2" borderId="7" xfId="1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4" fontId="14" fillId="0" borderId="9" xfId="0" applyNumberFormat="1" applyFont="1" applyFill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4" fontId="14" fillId="0" borderId="14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/>
    <xf numFmtId="4" fontId="13" fillId="0" borderId="9" xfId="0" applyNumberFormat="1" applyFont="1" applyFill="1" applyBorder="1" applyAlignment="1">
      <alignment vertical="center"/>
    </xf>
    <xf numFmtId="4" fontId="14" fillId="0" borderId="14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3" fontId="2" fillId="0" borderId="9" xfId="2" applyFont="1" applyFill="1" applyBorder="1" applyAlignment="1">
      <alignment horizontal="center" vertical="center"/>
    </xf>
    <xf numFmtId="43" fontId="3" fillId="0" borderId="9" xfId="2" applyFont="1" applyFill="1" applyBorder="1" applyAlignment="1">
      <alignment horizontal="center" vertical="center"/>
    </xf>
    <xf numFmtId="43" fontId="3" fillId="0" borderId="11" xfId="2" applyFont="1" applyFill="1" applyBorder="1" applyAlignment="1">
      <alignment horizontal="center" vertical="center"/>
    </xf>
    <xf numFmtId="43" fontId="2" fillId="0" borderId="11" xfId="2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3" fontId="3" fillId="0" borderId="19" xfId="2" applyFont="1" applyFill="1" applyBorder="1" applyAlignment="1">
      <alignment horizontal="center" vertical="center"/>
    </xf>
    <xf numFmtId="43" fontId="3" fillId="0" borderId="29" xfId="2" applyFont="1" applyFill="1" applyBorder="1" applyAlignment="1">
      <alignment horizontal="center" vertical="center"/>
    </xf>
    <xf numFmtId="0" fontId="0" fillId="0" borderId="8" xfId="0" applyFill="1" applyBorder="1"/>
    <xf numFmtId="43" fontId="0" fillId="0" borderId="9" xfId="2" applyFont="1" applyFill="1" applyBorder="1"/>
    <xf numFmtId="43" fontId="0" fillId="0" borderId="11" xfId="2" applyFont="1" applyFill="1" applyBorder="1"/>
    <xf numFmtId="0" fontId="0" fillId="0" borderId="12" xfId="0" applyFill="1" applyBorder="1"/>
    <xf numFmtId="0" fontId="0" fillId="0" borderId="10" xfId="0" applyFill="1" applyBorder="1"/>
    <xf numFmtId="43" fontId="0" fillId="0" borderId="9" xfId="2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wrapText="1"/>
    </xf>
    <xf numFmtId="0" fontId="11" fillId="0" borderId="9" xfId="0" applyFont="1" applyFill="1" applyBorder="1"/>
    <xf numFmtId="43" fontId="11" fillId="0" borderId="9" xfId="2" applyFont="1" applyFill="1" applyBorder="1"/>
    <xf numFmtId="2" fontId="11" fillId="0" borderId="9" xfId="0" applyNumberFormat="1" applyFont="1" applyFill="1" applyBorder="1" applyAlignment="1">
      <alignment horizontal="center" vertical="center"/>
    </xf>
    <xf numFmtId="43" fontId="11" fillId="0" borderId="9" xfId="2" applyFont="1" applyFill="1" applyBorder="1" applyAlignment="1">
      <alignment horizontal="center" vertical="center"/>
    </xf>
    <xf numFmtId="43" fontId="14" fillId="0" borderId="11" xfId="2" applyFont="1" applyFill="1" applyBorder="1" applyAlignment="1">
      <alignment vertical="center"/>
    </xf>
    <xf numFmtId="0" fontId="0" fillId="0" borderId="9" xfId="0" applyFill="1" applyBorder="1" applyAlignment="1">
      <alignment wrapText="1"/>
    </xf>
    <xf numFmtId="4" fontId="14" fillId="0" borderId="9" xfId="0" applyNumberFormat="1" applyFont="1" applyFill="1" applyBorder="1" applyAlignment="1">
      <alignment horizontal="center" vertical="center"/>
    </xf>
    <xf numFmtId="43" fontId="14" fillId="0" borderId="11" xfId="2" applyFont="1" applyFill="1" applyBorder="1" applyAlignment="1">
      <alignment horizontal="center" vertical="center"/>
    </xf>
    <xf numFmtId="2" fontId="11" fillId="0" borderId="9" xfId="0" applyNumberFormat="1" applyFont="1" applyFill="1" applyBorder="1"/>
    <xf numFmtId="43" fontId="0" fillId="0" borderId="11" xfId="2" applyFont="1" applyFill="1" applyBorder="1" applyAlignment="1">
      <alignment vertical="center"/>
    </xf>
    <xf numFmtId="2" fontId="0" fillId="0" borderId="9" xfId="0" applyNumberFormat="1" applyFill="1" applyBorder="1"/>
    <xf numFmtId="43" fontId="13" fillId="0" borderId="9" xfId="2" applyFont="1" applyFill="1" applyBorder="1" applyAlignment="1">
      <alignment vertical="center"/>
    </xf>
    <xf numFmtId="43" fontId="14" fillId="0" borderId="9" xfId="2" applyFont="1" applyFill="1" applyBorder="1" applyAlignment="1">
      <alignment vertical="center"/>
    </xf>
    <xf numFmtId="43" fontId="11" fillId="0" borderId="11" xfId="2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3" fontId="14" fillId="0" borderId="14" xfId="2" applyFont="1" applyFill="1" applyBorder="1" applyAlignment="1">
      <alignment vertical="center"/>
    </xf>
    <xf numFmtId="43" fontId="13" fillId="0" borderId="15" xfId="2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 textRotation="90"/>
    </xf>
    <xf numFmtId="0" fontId="7" fillId="2" borderId="19" xfId="1" applyFont="1" applyFill="1" applyBorder="1" applyAlignment="1">
      <alignment horizontal="center" vertical="center" textRotation="90"/>
    </xf>
    <xf numFmtId="0" fontId="7" fillId="2" borderId="19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 wrapText="1"/>
    </xf>
    <xf numFmtId="43" fontId="7" fillId="2" borderId="19" xfId="2" applyFont="1" applyFill="1" applyBorder="1" applyAlignment="1">
      <alignment horizontal="center" vertical="center" wrapText="1"/>
    </xf>
    <xf numFmtId="43" fontId="7" fillId="2" borderId="19" xfId="2" applyFont="1" applyFill="1" applyBorder="1" applyAlignment="1">
      <alignment horizontal="center" vertical="center"/>
    </xf>
    <xf numFmtId="43" fontId="7" fillId="2" borderId="23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3" fontId="3" fillId="0" borderId="2" xfId="2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3" fontId="3" fillId="0" borderId="7" xfId="2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3" fontId="0" fillId="0" borderId="11" xfId="2" applyFont="1" applyFill="1" applyBorder="1" applyAlignment="1">
      <alignment horizontal="center" vertical="center"/>
    </xf>
    <xf numFmtId="0" fontId="0" fillId="0" borderId="0" xfId="0" applyFill="1" applyBorder="1"/>
    <xf numFmtId="43" fontId="2" fillId="0" borderId="14" xfId="2" applyFont="1" applyFill="1" applyBorder="1" applyAlignment="1">
      <alignment horizontal="center" vertical="center"/>
    </xf>
    <xf numFmtId="0" fontId="0" fillId="0" borderId="31" xfId="0" applyFill="1" applyBorder="1"/>
    <xf numFmtId="0" fontId="0" fillId="0" borderId="14" xfId="0" applyFill="1" applyBorder="1"/>
    <xf numFmtId="4" fontId="3" fillId="0" borderId="14" xfId="0" applyNumberFormat="1" applyFont="1" applyFill="1" applyBorder="1" applyAlignment="1">
      <alignment horizontal="center" vertical="center"/>
    </xf>
    <xf numFmtId="43" fontId="0" fillId="0" borderId="14" xfId="2" applyFont="1" applyFill="1" applyBorder="1"/>
    <xf numFmtId="0" fontId="0" fillId="0" borderId="15" xfId="0" applyFill="1" applyBorder="1"/>
  </cellXfs>
  <cellStyles count="12">
    <cellStyle name="Excel Built-in Explanatory Text" xfId="9" xr:uid="{00000000-0005-0000-0000-000000000000}"/>
    <cellStyle name="Millares" xfId="2" builtinId="3"/>
    <cellStyle name="Moneda" xfId="3" builtinId="4"/>
    <cellStyle name="Moneda 2" xfId="6" xr:uid="{00000000-0005-0000-0000-000003000000}"/>
    <cellStyle name="Normal" xfId="0" builtinId="0"/>
    <cellStyle name="Normal 11" xfId="8" xr:uid="{00000000-0005-0000-0000-000005000000}"/>
    <cellStyle name="Normal 12 2 2 2 2" xfId="7" xr:uid="{00000000-0005-0000-0000-000006000000}"/>
    <cellStyle name="Normal 2" xfId="10" xr:uid="{00000000-0005-0000-0000-000007000000}"/>
    <cellStyle name="Normal 3" xfId="11" xr:uid="{00000000-0005-0000-0000-000008000000}"/>
    <cellStyle name="Normal 4" xfId="5" xr:uid="{00000000-0005-0000-0000-000009000000}"/>
    <cellStyle name="Normal_Hoja1" xfId="1" xr:uid="{00000000-0005-0000-0000-00000A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DC89A-E22B-4F70-9C08-34B96FDC749E}">
  <dimension ref="A1:Q94"/>
  <sheetViews>
    <sheetView topLeftCell="A38" workbookViewId="0">
      <selection activeCell="C52" sqref="C52"/>
    </sheetView>
  </sheetViews>
  <sheetFormatPr baseColWidth="10" defaultRowHeight="15" x14ac:dyDescent="0.25"/>
  <cols>
    <col min="1" max="1" width="50.42578125" style="270" bestFit="1" customWidth="1"/>
  </cols>
  <sheetData>
    <row r="1" spans="1:2" x14ac:dyDescent="0.25">
      <c r="A1" s="269" t="s">
        <v>265</v>
      </c>
    </row>
    <row r="2" spans="1:2" x14ac:dyDescent="0.25">
      <c r="B2" t="s">
        <v>266</v>
      </c>
    </row>
    <row r="3" spans="1:2" x14ac:dyDescent="0.25">
      <c r="B3" t="s">
        <v>267</v>
      </c>
    </row>
    <row r="4" spans="1:2" x14ac:dyDescent="0.25">
      <c r="B4" t="s">
        <v>268</v>
      </c>
    </row>
    <row r="6" spans="1:2" x14ac:dyDescent="0.25">
      <c r="A6" s="270" t="s">
        <v>112</v>
      </c>
    </row>
    <row r="7" spans="1:2" x14ac:dyDescent="0.25">
      <c r="B7" t="s">
        <v>271</v>
      </c>
    </row>
    <row r="8" spans="1:2" x14ac:dyDescent="0.25">
      <c r="B8" t="s">
        <v>272</v>
      </c>
    </row>
    <row r="9" spans="1:2" x14ac:dyDescent="0.25">
      <c r="B9" t="s">
        <v>273</v>
      </c>
    </row>
    <row r="10" spans="1:2" x14ac:dyDescent="0.25">
      <c r="B10" t="s">
        <v>274</v>
      </c>
    </row>
    <row r="11" spans="1:2" x14ac:dyDescent="0.25">
      <c r="B11" t="s">
        <v>275</v>
      </c>
    </row>
    <row r="12" spans="1:2" x14ac:dyDescent="0.25">
      <c r="B12" t="s">
        <v>276</v>
      </c>
    </row>
    <row r="13" spans="1:2" x14ac:dyDescent="0.25">
      <c r="B13" t="s">
        <v>277</v>
      </c>
    </row>
    <row r="14" spans="1:2" x14ac:dyDescent="0.25">
      <c r="B14" t="s">
        <v>278</v>
      </c>
    </row>
    <row r="16" spans="1:2" x14ac:dyDescent="0.25">
      <c r="A16" s="270" t="s">
        <v>58</v>
      </c>
    </row>
    <row r="17" spans="1:2" x14ac:dyDescent="0.25">
      <c r="B17" t="s">
        <v>279</v>
      </c>
    </row>
    <row r="18" spans="1:2" x14ac:dyDescent="0.25">
      <c r="B18" t="s">
        <v>280</v>
      </c>
    </row>
    <row r="19" spans="1:2" x14ac:dyDescent="0.25">
      <c r="B19" t="s">
        <v>281</v>
      </c>
    </row>
    <row r="20" spans="1:2" x14ac:dyDescent="0.25">
      <c r="B20" t="s">
        <v>282</v>
      </c>
    </row>
    <row r="21" spans="1:2" x14ac:dyDescent="0.25">
      <c r="A21" s="270" t="s">
        <v>283</v>
      </c>
    </row>
    <row r="22" spans="1:2" x14ac:dyDescent="0.25">
      <c r="B22" t="s">
        <v>284</v>
      </c>
    </row>
    <row r="24" spans="1:2" x14ac:dyDescent="0.25">
      <c r="A24" s="270" t="s">
        <v>77</v>
      </c>
    </row>
    <row r="25" spans="1:2" x14ac:dyDescent="0.25">
      <c r="B25" t="s">
        <v>285</v>
      </c>
    </row>
    <row r="26" spans="1:2" x14ac:dyDescent="0.25">
      <c r="B26" t="s">
        <v>286</v>
      </c>
    </row>
    <row r="27" spans="1:2" x14ac:dyDescent="0.25">
      <c r="B27" t="s">
        <v>287</v>
      </c>
    </row>
    <row r="28" spans="1:2" x14ac:dyDescent="0.25">
      <c r="B28" t="s">
        <v>288</v>
      </c>
    </row>
    <row r="29" spans="1:2" x14ac:dyDescent="0.25">
      <c r="B29" t="s">
        <v>289</v>
      </c>
    </row>
    <row r="30" spans="1:2" x14ac:dyDescent="0.25">
      <c r="B30" t="s">
        <v>290</v>
      </c>
    </row>
    <row r="31" spans="1:2" x14ac:dyDescent="0.25">
      <c r="A31" s="270" t="s">
        <v>71</v>
      </c>
    </row>
    <row r="32" spans="1:2" x14ac:dyDescent="0.25">
      <c r="B32" t="s">
        <v>291</v>
      </c>
    </row>
    <row r="33" spans="1:2" x14ac:dyDescent="0.25">
      <c r="B33" t="s">
        <v>292</v>
      </c>
    </row>
    <row r="34" spans="1:2" x14ac:dyDescent="0.25">
      <c r="B34" t="s">
        <v>293</v>
      </c>
    </row>
    <row r="35" spans="1:2" x14ac:dyDescent="0.25">
      <c r="B35" t="s">
        <v>294</v>
      </c>
    </row>
    <row r="36" spans="1:2" x14ac:dyDescent="0.25">
      <c r="B36" t="s">
        <v>295</v>
      </c>
    </row>
    <row r="37" spans="1:2" x14ac:dyDescent="0.25">
      <c r="B37" t="s">
        <v>296</v>
      </c>
    </row>
    <row r="38" spans="1:2" x14ac:dyDescent="0.25">
      <c r="B38" t="s">
        <v>297</v>
      </c>
    </row>
    <row r="39" spans="1:2" x14ac:dyDescent="0.25">
      <c r="B39" t="s">
        <v>298</v>
      </c>
    </row>
    <row r="40" spans="1:2" x14ac:dyDescent="0.25">
      <c r="B40" t="s">
        <v>299</v>
      </c>
    </row>
    <row r="41" spans="1:2" x14ac:dyDescent="0.25">
      <c r="A41" s="270" t="s">
        <v>300</v>
      </c>
    </row>
    <row r="42" spans="1:2" x14ac:dyDescent="0.25">
      <c r="B42" t="s">
        <v>301</v>
      </c>
    </row>
    <row r="43" spans="1:2" x14ac:dyDescent="0.25">
      <c r="B43" s="268" t="s">
        <v>302</v>
      </c>
    </row>
    <row r="44" spans="1:2" x14ac:dyDescent="0.25">
      <c r="B44" t="s">
        <v>303</v>
      </c>
    </row>
    <row r="45" spans="1:2" x14ac:dyDescent="0.25">
      <c r="B45" t="s">
        <v>304</v>
      </c>
    </row>
    <row r="46" spans="1:2" x14ac:dyDescent="0.25">
      <c r="B46" t="s">
        <v>305</v>
      </c>
    </row>
    <row r="48" spans="1:2" x14ac:dyDescent="0.25">
      <c r="A48" s="269" t="s">
        <v>306</v>
      </c>
    </row>
    <row r="49" spans="1:17" x14ac:dyDescent="0.25">
      <c r="B49" t="s">
        <v>307</v>
      </c>
    </row>
    <row r="50" spans="1:17" x14ac:dyDescent="0.25">
      <c r="B50" t="s">
        <v>308</v>
      </c>
    </row>
    <row r="51" spans="1:17" x14ac:dyDescent="0.25">
      <c r="B51" t="s">
        <v>309</v>
      </c>
    </row>
    <row r="52" spans="1:17" x14ac:dyDescent="0.25">
      <c r="B52" t="s">
        <v>310</v>
      </c>
    </row>
    <row r="53" spans="1:17" x14ac:dyDescent="0.25">
      <c r="B53" t="s">
        <v>309</v>
      </c>
    </row>
    <row r="54" spans="1:17" x14ac:dyDescent="0.25">
      <c r="B54" t="s">
        <v>311</v>
      </c>
    </row>
    <row r="55" spans="1:17" x14ac:dyDescent="0.25">
      <c r="B55" t="s">
        <v>312</v>
      </c>
    </row>
    <row r="56" spans="1:17" x14ac:dyDescent="0.25">
      <c r="B56" t="s">
        <v>313</v>
      </c>
    </row>
    <row r="57" spans="1:17" x14ac:dyDescent="0.25">
      <c r="B57" t="s">
        <v>311</v>
      </c>
      <c r="P57" t="s">
        <v>339</v>
      </c>
      <c r="Q57" t="s">
        <v>340</v>
      </c>
    </row>
    <row r="58" spans="1:17" x14ac:dyDescent="0.25">
      <c r="B58" t="s">
        <v>314</v>
      </c>
      <c r="P58" t="s">
        <v>341</v>
      </c>
      <c r="Q58" t="s">
        <v>340</v>
      </c>
    </row>
    <row r="59" spans="1:17" x14ac:dyDescent="0.25">
      <c r="B59" t="s">
        <v>315</v>
      </c>
    </row>
    <row r="60" spans="1:17" x14ac:dyDescent="0.25">
      <c r="B60" t="s">
        <v>316</v>
      </c>
    </row>
    <row r="61" spans="1:17" x14ac:dyDescent="0.25">
      <c r="B61" t="s">
        <v>317</v>
      </c>
    </row>
    <row r="62" spans="1:17" x14ac:dyDescent="0.25">
      <c r="A62" s="270" t="s">
        <v>318</v>
      </c>
    </row>
    <row r="63" spans="1:17" x14ac:dyDescent="0.25">
      <c r="B63" t="s">
        <v>319</v>
      </c>
    </row>
    <row r="64" spans="1:17" x14ac:dyDescent="0.25">
      <c r="B64" t="s">
        <v>320</v>
      </c>
    </row>
    <row r="65" spans="1:2" x14ac:dyDescent="0.25">
      <c r="B65" t="s">
        <v>321</v>
      </c>
    </row>
    <row r="66" spans="1:2" x14ac:dyDescent="0.25">
      <c r="B66" t="s">
        <v>322</v>
      </c>
    </row>
    <row r="67" spans="1:2" x14ac:dyDescent="0.25">
      <c r="A67" s="270" t="s">
        <v>333</v>
      </c>
    </row>
    <row r="68" spans="1:2" x14ac:dyDescent="0.25">
      <c r="B68" t="s">
        <v>323</v>
      </c>
    </row>
    <row r="69" spans="1:2" x14ac:dyDescent="0.25">
      <c r="B69" t="s">
        <v>324</v>
      </c>
    </row>
    <row r="70" spans="1:2" x14ac:dyDescent="0.25">
      <c r="B70" t="s">
        <v>325</v>
      </c>
    </row>
    <row r="71" spans="1:2" x14ac:dyDescent="0.25">
      <c r="B71" t="s">
        <v>326</v>
      </c>
    </row>
    <row r="72" spans="1:2" x14ac:dyDescent="0.25">
      <c r="B72" t="s">
        <v>327</v>
      </c>
    </row>
    <row r="73" spans="1:2" x14ac:dyDescent="0.25">
      <c r="B73" t="s">
        <v>328</v>
      </c>
    </row>
    <row r="74" spans="1:2" x14ac:dyDescent="0.25">
      <c r="B74" t="s">
        <v>324</v>
      </c>
    </row>
    <row r="75" spans="1:2" x14ac:dyDescent="0.25">
      <c r="B75" t="s">
        <v>329</v>
      </c>
    </row>
    <row r="76" spans="1:2" x14ac:dyDescent="0.25">
      <c r="B76" t="s">
        <v>330</v>
      </c>
    </row>
    <row r="77" spans="1:2" x14ac:dyDescent="0.25">
      <c r="B77" t="s">
        <v>331</v>
      </c>
    </row>
    <row r="78" spans="1:2" x14ac:dyDescent="0.25">
      <c r="B78" t="s">
        <v>332</v>
      </c>
    </row>
    <row r="79" spans="1:2" x14ac:dyDescent="0.25">
      <c r="A79" s="270" t="s">
        <v>334</v>
      </c>
    </row>
    <row r="80" spans="1:2" x14ac:dyDescent="0.25">
      <c r="B80" t="s">
        <v>335</v>
      </c>
    </row>
    <row r="81" spans="1:2" x14ac:dyDescent="0.25">
      <c r="B81" t="s">
        <v>336</v>
      </c>
    </row>
    <row r="82" spans="1:2" x14ac:dyDescent="0.25">
      <c r="B82" t="s">
        <v>337</v>
      </c>
    </row>
    <row r="83" spans="1:2" x14ac:dyDescent="0.25">
      <c r="B83" t="s">
        <v>338</v>
      </c>
    </row>
    <row r="85" spans="1:2" x14ac:dyDescent="0.25">
      <c r="A85" s="269" t="s">
        <v>204</v>
      </c>
    </row>
    <row r="86" spans="1:2" x14ac:dyDescent="0.25">
      <c r="B86" t="s">
        <v>342</v>
      </c>
    </row>
    <row r="87" spans="1:2" x14ac:dyDescent="0.25">
      <c r="B87" t="s">
        <v>343</v>
      </c>
    </row>
    <row r="88" spans="1:2" x14ac:dyDescent="0.25">
      <c r="B88" t="s">
        <v>344</v>
      </c>
    </row>
    <row r="89" spans="1:2" x14ac:dyDescent="0.25">
      <c r="B89" t="s">
        <v>345</v>
      </c>
    </row>
    <row r="90" spans="1:2" x14ac:dyDescent="0.25">
      <c r="B90" t="s">
        <v>346</v>
      </c>
    </row>
    <row r="91" spans="1:2" x14ac:dyDescent="0.25">
      <c r="A91" s="269" t="s">
        <v>164</v>
      </c>
    </row>
    <row r="92" spans="1:2" x14ac:dyDescent="0.25">
      <c r="B92" t="s">
        <v>347</v>
      </c>
    </row>
    <row r="93" spans="1:2" x14ac:dyDescent="0.25">
      <c r="B93" t="s">
        <v>348</v>
      </c>
    </row>
    <row r="94" spans="1:2" x14ac:dyDescent="0.25">
      <c r="B94" t="s">
        <v>349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BB39"/>
  <sheetViews>
    <sheetView zoomScale="85" zoomScaleNormal="85" workbookViewId="0">
      <pane xSplit="8" ySplit="6" topLeftCell="I10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P1" sqref="AP1:AS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31" width="13.7109375" customWidth="1"/>
    <col min="32" max="32" width="13.7109375" style="211" customWidth="1"/>
    <col min="33" max="33" width="13.7109375" customWidth="1"/>
    <col min="34" max="42" width="13.7109375" hidden="1" customWidth="1"/>
    <col min="43" max="43" width="13.7109375" style="211" hidden="1" customWidth="1"/>
    <col min="44" max="45" width="13.7109375" hidden="1" customWidth="1"/>
    <col min="46" max="46" width="11.5703125" customWidth="1"/>
    <col min="47" max="47" width="10.7109375" customWidth="1"/>
    <col min="48" max="48" width="13.7109375" customWidth="1"/>
    <col min="49" max="49" width="10.7109375" customWidth="1"/>
    <col min="50" max="50" width="13.7109375" customWidth="1"/>
    <col min="51" max="51" width="10.7109375" customWidth="1"/>
    <col min="52" max="52" width="13.7109375" customWidth="1"/>
    <col min="53" max="53" width="10.7109375" customWidth="1"/>
    <col min="54" max="54" width="13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+'208. UNCOSU'!A3</f>
        <v>EJERCICIO FISCAL 2022 - ACTUALIZADA DICIEMBRE</v>
      </c>
    </row>
    <row r="4" spans="1:54" ht="15" customHeight="1" thickBot="1" x14ac:dyDescent="0.3"/>
    <row r="5" spans="1:54" s="91" customFormat="1" x14ac:dyDescent="0.25">
      <c r="A5" s="333" t="s">
        <v>142</v>
      </c>
      <c r="B5" s="334"/>
      <c r="C5" s="334"/>
      <c r="D5" s="334"/>
      <c r="E5" s="334"/>
      <c r="F5" s="334"/>
      <c r="G5" s="334"/>
      <c r="H5" s="334"/>
      <c r="I5" s="334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29" t="s">
        <v>2</v>
      </c>
      <c r="AC5" s="329"/>
      <c r="AD5" s="329"/>
      <c r="AE5" s="329"/>
      <c r="AF5" s="329"/>
      <c r="AG5" s="329"/>
      <c r="AH5" s="39"/>
      <c r="AI5" s="39"/>
      <c r="AJ5" s="39"/>
      <c r="AK5" s="39"/>
      <c r="AL5" s="39"/>
      <c r="AM5" s="39"/>
      <c r="AN5" s="39"/>
      <c r="AO5" s="39"/>
      <c r="AP5" s="39"/>
      <c r="AQ5" s="253"/>
      <c r="AR5" s="158"/>
      <c r="AS5" s="40"/>
      <c r="AT5"/>
      <c r="AU5" s="326" t="s">
        <v>51</v>
      </c>
      <c r="AV5" s="326"/>
      <c r="AW5" s="326" t="s">
        <v>52</v>
      </c>
      <c r="AX5" s="326"/>
      <c r="AY5" s="326" t="s">
        <v>53</v>
      </c>
      <c r="AZ5" s="326"/>
      <c r="BA5" s="326" t="s">
        <v>55</v>
      </c>
      <c r="BB5" s="326"/>
    </row>
    <row r="6" spans="1:54" s="107" customFormat="1" ht="36.75" thickBot="1" x14ac:dyDescent="0.3">
      <c r="A6" s="238" t="s">
        <v>3</v>
      </c>
      <c r="B6" s="229" t="s">
        <v>4</v>
      </c>
      <c r="C6" s="229" t="s">
        <v>5</v>
      </c>
      <c r="D6" s="229" t="s">
        <v>6</v>
      </c>
      <c r="E6" s="229" t="s">
        <v>7</v>
      </c>
      <c r="F6" s="229" t="s">
        <v>8</v>
      </c>
      <c r="G6" s="229" t="s">
        <v>9</v>
      </c>
      <c r="H6" s="230" t="s">
        <v>10</v>
      </c>
      <c r="I6" s="231" t="s">
        <v>11</v>
      </c>
      <c r="J6" s="232" t="s">
        <v>12</v>
      </c>
      <c r="K6" s="232" t="s">
        <v>65</v>
      </c>
      <c r="L6" s="232" t="s">
        <v>13</v>
      </c>
      <c r="M6" s="232" t="s">
        <v>14</v>
      </c>
      <c r="N6" s="233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3" t="s">
        <v>22</v>
      </c>
      <c r="V6" s="233" t="s">
        <v>23</v>
      </c>
      <c r="W6" s="233" t="s">
        <v>24</v>
      </c>
      <c r="X6" s="233" t="s">
        <v>25</v>
      </c>
      <c r="Y6" s="233" t="s">
        <v>26</v>
      </c>
      <c r="Z6" s="233" t="s">
        <v>27</v>
      </c>
      <c r="AA6" s="233" t="s">
        <v>28</v>
      </c>
      <c r="AB6" s="232" t="s">
        <v>12</v>
      </c>
      <c r="AC6" s="232" t="s">
        <v>65</v>
      </c>
      <c r="AD6" s="232" t="s">
        <v>13</v>
      </c>
      <c r="AE6" s="232" t="s">
        <v>14</v>
      </c>
      <c r="AF6" s="252" t="s">
        <v>15</v>
      </c>
      <c r="AG6" s="233" t="s">
        <v>16</v>
      </c>
      <c r="AH6" s="233" t="s">
        <v>17</v>
      </c>
      <c r="AI6" s="233" t="s">
        <v>18</v>
      </c>
      <c r="AJ6" s="233" t="s">
        <v>19</v>
      </c>
      <c r="AK6" s="233" t="s">
        <v>20</v>
      </c>
      <c r="AL6" s="233" t="s">
        <v>21</v>
      </c>
      <c r="AM6" s="233" t="s">
        <v>22</v>
      </c>
      <c r="AN6" s="233" t="s">
        <v>23</v>
      </c>
      <c r="AO6" s="233" t="s">
        <v>24</v>
      </c>
      <c r="AP6" s="233" t="s">
        <v>25</v>
      </c>
      <c r="AQ6" s="254" t="s">
        <v>26</v>
      </c>
      <c r="AR6" s="30" t="s">
        <v>27</v>
      </c>
      <c r="AS6" s="29" t="s">
        <v>28</v>
      </c>
      <c r="AT6"/>
      <c r="AU6" s="68" t="s">
        <v>54</v>
      </c>
      <c r="AV6" s="68" t="s">
        <v>2</v>
      </c>
      <c r="AW6" s="68" t="s">
        <v>54</v>
      </c>
      <c r="AX6" s="68" t="s">
        <v>2</v>
      </c>
      <c r="AY6" s="68" t="s">
        <v>54</v>
      </c>
      <c r="AZ6" s="68" t="s">
        <v>2</v>
      </c>
      <c r="BA6" s="68" t="s">
        <v>54</v>
      </c>
      <c r="BB6" s="68" t="s">
        <v>2</v>
      </c>
    </row>
    <row r="7" spans="1:54" s="91" customFormat="1" ht="45" x14ac:dyDescent="0.25">
      <c r="A7" s="368"/>
      <c r="B7" s="369">
        <v>16</v>
      </c>
      <c r="C7" s="369"/>
      <c r="D7" s="369"/>
      <c r="E7" s="369"/>
      <c r="F7" s="369"/>
      <c r="G7" s="369"/>
      <c r="H7" s="339" t="s">
        <v>143</v>
      </c>
      <c r="I7" s="344"/>
      <c r="J7" s="370"/>
      <c r="K7" s="370"/>
      <c r="L7" s="370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9"/>
      <c r="AC7" s="9"/>
      <c r="AD7" s="9"/>
      <c r="AE7" s="11"/>
      <c r="AF7" s="221"/>
      <c r="AG7" s="11"/>
      <c r="AH7" s="11"/>
      <c r="AI7" s="9"/>
      <c r="AJ7" s="9"/>
      <c r="AK7" s="9"/>
      <c r="AL7" s="9"/>
      <c r="AM7" s="9"/>
      <c r="AN7" s="9"/>
      <c r="AO7" s="9"/>
      <c r="AP7" s="9"/>
      <c r="AQ7" s="255"/>
      <c r="AR7" s="159"/>
      <c r="AS7" s="21"/>
      <c r="AT7"/>
      <c r="AU7" s="79"/>
      <c r="AV7" s="79"/>
      <c r="AW7" s="79"/>
      <c r="AX7" s="79"/>
      <c r="AY7" s="79"/>
      <c r="AZ7" s="79"/>
      <c r="BA7" s="79"/>
      <c r="BB7" s="79"/>
    </row>
    <row r="8" spans="1:54" s="91" customFormat="1" x14ac:dyDescent="0.25">
      <c r="A8" s="368"/>
      <c r="B8" s="369"/>
      <c r="C8" s="369">
        <v>0</v>
      </c>
      <c r="D8" s="369"/>
      <c r="E8" s="369"/>
      <c r="F8" s="369"/>
      <c r="G8" s="369"/>
      <c r="H8" s="339" t="s">
        <v>30</v>
      </c>
      <c r="I8" s="344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11"/>
      <c r="AC8" s="11"/>
      <c r="AD8" s="11"/>
      <c r="AE8" s="11"/>
      <c r="AF8" s="221"/>
      <c r="AG8" s="11"/>
      <c r="AH8" s="11"/>
      <c r="AI8" s="9"/>
      <c r="AJ8" s="11"/>
      <c r="AK8" s="11"/>
      <c r="AL8" s="11"/>
      <c r="AM8" s="11"/>
      <c r="AN8" s="11"/>
      <c r="AO8" s="11"/>
      <c r="AP8" s="11"/>
      <c r="AQ8" s="256"/>
      <c r="AR8" s="190"/>
      <c r="AS8" s="16"/>
      <c r="AT8"/>
      <c r="AU8" s="79"/>
      <c r="AV8" s="79"/>
      <c r="AW8" s="79"/>
      <c r="AX8" s="79"/>
      <c r="AY8" s="79"/>
      <c r="AZ8" s="79"/>
      <c r="BA8" s="79"/>
      <c r="BB8" s="79"/>
    </row>
    <row r="9" spans="1:54" s="91" customFormat="1" x14ac:dyDescent="0.25">
      <c r="A9" s="368"/>
      <c r="B9" s="369"/>
      <c r="C9" s="369"/>
      <c r="D9" s="369">
        <v>0</v>
      </c>
      <c r="E9" s="369"/>
      <c r="F9" s="369"/>
      <c r="G9" s="369"/>
      <c r="H9" s="339" t="s">
        <v>31</v>
      </c>
      <c r="I9" s="344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348"/>
      <c r="AB9" s="11"/>
      <c r="AC9" s="11"/>
      <c r="AD9" s="11"/>
      <c r="AE9" s="11"/>
      <c r="AF9" s="221"/>
      <c r="AG9" s="11"/>
      <c r="AH9" s="11"/>
      <c r="AI9" s="9"/>
      <c r="AJ9" s="11"/>
      <c r="AK9" s="11"/>
      <c r="AL9" s="11"/>
      <c r="AM9" s="11"/>
      <c r="AN9" s="11"/>
      <c r="AO9" s="11"/>
      <c r="AP9" s="11"/>
      <c r="AQ9" s="256"/>
      <c r="AR9" s="190"/>
      <c r="AS9" s="16"/>
      <c r="AT9"/>
      <c r="AU9" s="79"/>
      <c r="AV9" s="79"/>
      <c r="AW9" s="79"/>
      <c r="AX9" s="79"/>
      <c r="AY9" s="79"/>
      <c r="AZ9" s="79"/>
      <c r="BA9" s="79"/>
      <c r="BB9" s="79"/>
    </row>
    <row r="10" spans="1:54" s="91" customFormat="1" x14ac:dyDescent="0.25">
      <c r="A10" s="368"/>
      <c r="B10" s="369"/>
      <c r="C10" s="369"/>
      <c r="D10" s="369"/>
      <c r="E10" s="369">
        <v>1</v>
      </c>
      <c r="F10" s="369">
        <v>0</v>
      </c>
      <c r="G10" s="369"/>
      <c r="H10" s="339" t="s">
        <v>59</v>
      </c>
      <c r="I10" s="344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9">
        <v>22882930</v>
      </c>
      <c r="AC10" s="9">
        <v>15384424</v>
      </c>
      <c r="AD10" s="9">
        <v>16026104</v>
      </c>
      <c r="AE10" s="9">
        <v>14589594</v>
      </c>
      <c r="AF10" s="222">
        <f>12433308.08+AS10</f>
        <v>13852170.1</v>
      </c>
      <c r="AG10" s="9">
        <f>+AS10</f>
        <v>1418862.02</v>
      </c>
      <c r="AH10" s="11">
        <v>515063.96</v>
      </c>
      <c r="AI10" s="11">
        <v>840776.94</v>
      </c>
      <c r="AJ10" s="11">
        <v>896900.5</v>
      </c>
      <c r="AK10" s="11">
        <v>804281.94</v>
      </c>
      <c r="AL10" s="11">
        <v>1879615.64</v>
      </c>
      <c r="AM10" s="11">
        <v>479438.14</v>
      </c>
      <c r="AN10" s="11">
        <v>3029637.36</v>
      </c>
      <c r="AO10" s="11">
        <v>189660.21</v>
      </c>
      <c r="AP10" s="11">
        <v>262906.21000000002</v>
      </c>
      <c r="AQ10" s="256">
        <v>1119222.97</v>
      </c>
      <c r="AR10" s="190">
        <v>1769469.08</v>
      </c>
      <c r="AS10" s="192">
        <v>1418862.02</v>
      </c>
      <c r="AT10"/>
      <c r="AU10" s="79">
        <v>950.99999999999989</v>
      </c>
      <c r="AV10" s="79">
        <v>23111759.300000001</v>
      </c>
      <c r="AW10" s="79">
        <v>951.99999999999989</v>
      </c>
      <c r="AX10" s="79">
        <v>22882930</v>
      </c>
      <c r="AY10" s="79">
        <v>952.99999999999989</v>
      </c>
      <c r="AZ10" s="79">
        <v>22882930</v>
      </c>
      <c r="BA10" s="79">
        <v>953.99999999999989</v>
      </c>
      <c r="BB10" s="135">
        <v>22882930</v>
      </c>
    </row>
    <row r="11" spans="1:54" s="91" customFormat="1" x14ac:dyDescent="0.25">
      <c r="A11" s="368">
        <v>4</v>
      </c>
      <c r="B11" s="369"/>
      <c r="C11" s="369"/>
      <c r="D11" s="369"/>
      <c r="E11" s="369"/>
      <c r="F11" s="369"/>
      <c r="G11" s="369">
        <v>1</v>
      </c>
      <c r="H11" s="339" t="s">
        <v>60</v>
      </c>
      <c r="I11" s="340" t="s">
        <v>34</v>
      </c>
      <c r="J11" s="371">
        <f>J12</f>
        <v>949.00000000000011</v>
      </c>
      <c r="K11" s="371">
        <f>K12</f>
        <v>949</v>
      </c>
      <c r="L11" s="371">
        <f>L12</f>
        <v>949</v>
      </c>
      <c r="M11" s="371">
        <f>+M12</f>
        <v>639</v>
      </c>
      <c r="N11" s="371">
        <f>N12</f>
        <v>609</v>
      </c>
      <c r="O11" s="371">
        <f>+AA11</f>
        <v>10</v>
      </c>
      <c r="P11" s="371">
        <f t="shared" ref="P11:X11" si="0">+P12</f>
        <v>0</v>
      </c>
      <c r="Q11" s="371">
        <f t="shared" si="0"/>
        <v>142</v>
      </c>
      <c r="R11" s="371">
        <f t="shared" si="0"/>
        <v>71</v>
      </c>
      <c r="S11" s="371">
        <f t="shared" si="0"/>
        <v>71</v>
      </c>
      <c r="T11" s="371">
        <f t="shared" si="0"/>
        <v>71</v>
      </c>
      <c r="U11" s="371">
        <f>+U12</f>
        <v>71</v>
      </c>
      <c r="V11" s="371">
        <f t="shared" si="0"/>
        <v>71</v>
      </c>
      <c r="W11" s="371">
        <f t="shared" si="0"/>
        <v>71</v>
      </c>
      <c r="X11" s="371">
        <f t="shared" si="0"/>
        <v>17</v>
      </c>
      <c r="Y11" s="371">
        <v>7</v>
      </c>
      <c r="Z11" s="371">
        <v>7</v>
      </c>
      <c r="AA11" s="371">
        <v>10</v>
      </c>
      <c r="AB11" s="9"/>
      <c r="AC11" s="9"/>
      <c r="AD11" s="9"/>
      <c r="AE11" s="9"/>
      <c r="AF11" s="222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255"/>
      <c r="AR11" s="160"/>
      <c r="AS11" s="10"/>
      <c r="AT11"/>
      <c r="AU11" s="79"/>
      <c r="AV11" s="79"/>
      <c r="AW11" s="79"/>
      <c r="AX11" s="79"/>
      <c r="AY11" s="79"/>
      <c r="AZ11" s="79"/>
      <c r="BA11" s="79"/>
      <c r="BB11" s="79"/>
    </row>
    <row r="12" spans="1:54" s="91" customFormat="1" x14ac:dyDescent="0.25">
      <c r="A12" s="372"/>
      <c r="B12" s="348"/>
      <c r="C12" s="348"/>
      <c r="D12" s="348"/>
      <c r="E12" s="348"/>
      <c r="F12" s="348"/>
      <c r="G12" s="348">
        <v>2</v>
      </c>
      <c r="H12" s="350" t="s">
        <v>60</v>
      </c>
      <c r="I12" s="344" t="s">
        <v>34</v>
      </c>
      <c r="J12" s="373">
        <v>949.00000000000011</v>
      </c>
      <c r="K12" s="373">
        <v>949</v>
      </c>
      <c r="L12" s="373">
        <v>949</v>
      </c>
      <c r="M12" s="373">
        <v>639</v>
      </c>
      <c r="N12" s="348">
        <f>+SUM(P12:AA12)</f>
        <v>609</v>
      </c>
      <c r="O12" s="371">
        <f>+AA12</f>
        <v>10</v>
      </c>
      <c r="P12" s="348">
        <v>0</v>
      </c>
      <c r="Q12" s="348">
        <v>142</v>
      </c>
      <c r="R12" s="348">
        <v>71</v>
      </c>
      <c r="S12" s="348">
        <v>71</v>
      </c>
      <c r="T12" s="348">
        <v>71</v>
      </c>
      <c r="U12" s="348">
        <v>71</v>
      </c>
      <c r="V12" s="348">
        <v>71</v>
      </c>
      <c r="W12" s="348">
        <v>71</v>
      </c>
      <c r="X12" s="348">
        <v>17</v>
      </c>
      <c r="Y12" s="348">
        <v>7</v>
      </c>
      <c r="Z12" s="348">
        <v>7</v>
      </c>
      <c r="AA12" s="348">
        <v>10</v>
      </c>
      <c r="AB12" s="9"/>
      <c r="AC12" s="9"/>
      <c r="AD12" s="9"/>
      <c r="AE12" s="9"/>
      <c r="AF12" s="222"/>
      <c r="AG12" s="9"/>
      <c r="AH12" s="9"/>
      <c r="AI12" s="9"/>
      <c r="AJ12" s="9"/>
      <c r="AK12" s="11"/>
      <c r="AL12" s="9"/>
      <c r="AM12" s="11"/>
      <c r="AN12" s="11"/>
      <c r="AO12" s="11"/>
      <c r="AP12" s="11"/>
      <c r="AQ12" s="256"/>
      <c r="AR12" s="190"/>
      <c r="AS12" s="16"/>
      <c r="AT12"/>
      <c r="AU12" s="79"/>
      <c r="AV12" s="79"/>
      <c r="AW12" s="79"/>
      <c r="AX12" s="79"/>
      <c r="AY12" s="79"/>
      <c r="AZ12" s="79"/>
      <c r="BA12" s="79"/>
      <c r="BB12" s="79"/>
    </row>
    <row r="13" spans="1:54" s="91" customFormat="1" ht="30" x14ac:dyDescent="0.25">
      <c r="A13" s="368"/>
      <c r="B13" s="369"/>
      <c r="C13" s="369"/>
      <c r="D13" s="369"/>
      <c r="E13" s="369">
        <v>2</v>
      </c>
      <c r="F13" s="369">
        <v>0</v>
      </c>
      <c r="G13" s="369"/>
      <c r="H13" s="339" t="s">
        <v>144</v>
      </c>
      <c r="I13" s="340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9">
        <v>32612541</v>
      </c>
      <c r="AC13" s="9">
        <v>16678910</v>
      </c>
      <c r="AD13" s="9">
        <v>16678910</v>
      </c>
      <c r="AE13" s="9">
        <v>11823749</v>
      </c>
      <c r="AF13" s="222">
        <f>10201059.83+AS13</f>
        <v>11495982.35</v>
      </c>
      <c r="AG13" s="9">
        <f>+AS13</f>
        <v>1294922.52</v>
      </c>
      <c r="AH13" s="11">
        <v>709343.82</v>
      </c>
      <c r="AI13" s="11">
        <v>713451.44</v>
      </c>
      <c r="AJ13" s="11">
        <v>763864.69</v>
      </c>
      <c r="AK13" s="11">
        <v>743680.77</v>
      </c>
      <c r="AL13" s="11">
        <v>1141769.57</v>
      </c>
      <c r="AM13" s="11">
        <v>352429.5</v>
      </c>
      <c r="AN13" s="11">
        <v>712668.23</v>
      </c>
      <c r="AO13" s="11">
        <v>56446.02</v>
      </c>
      <c r="AP13" s="11">
        <v>92153.24</v>
      </c>
      <c r="AQ13" s="256">
        <v>945575.66</v>
      </c>
      <c r="AR13" s="190">
        <v>995632.87</v>
      </c>
      <c r="AS13" s="192">
        <v>1294922.52</v>
      </c>
      <c r="AT13"/>
      <c r="AU13" s="79">
        <v>16535</v>
      </c>
      <c r="AV13" s="79">
        <v>32938666.41</v>
      </c>
      <c r="AW13" s="79">
        <v>16535</v>
      </c>
      <c r="AX13" s="79">
        <v>33268053.074099984</v>
      </c>
      <c r="AY13" s="79">
        <v>16535</v>
      </c>
      <c r="AZ13" s="79">
        <v>33600733.604840994</v>
      </c>
      <c r="BA13" s="79">
        <v>16535</v>
      </c>
      <c r="BB13" s="135">
        <v>33936740.940889403</v>
      </c>
    </row>
    <row r="14" spans="1:54" s="91" customFormat="1" x14ac:dyDescent="0.25">
      <c r="A14" s="368">
        <v>4</v>
      </c>
      <c r="B14" s="348"/>
      <c r="C14" s="348"/>
      <c r="D14" s="348"/>
      <c r="E14" s="348"/>
      <c r="F14" s="348"/>
      <c r="G14" s="348">
        <v>1</v>
      </c>
      <c r="H14" s="339" t="s">
        <v>145</v>
      </c>
      <c r="I14" s="340" t="s">
        <v>64</v>
      </c>
      <c r="J14" s="371">
        <f>J15+J16</f>
        <v>16412</v>
      </c>
      <c r="K14" s="371">
        <f>K15+K16</f>
        <v>16295</v>
      </c>
      <c r="L14" s="371">
        <f>L15+L16</f>
        <v>16315</v>
      </c>
      <c r="M14" s="371">
        <v>15878</v>
      </c>
      <c r="N14" s="371">
        <f>12830+O14+Z14</f>
        <v>15324</v>
      </c>
      <c r="O14" s="371">
        <f>+AA14</f>
        <v>1276</v>
      </c>
      <c r="P14" s="371">
        <f t="shared" ref="P14:T14" si="1">+P15+P16</f>
        <v>0</v>
      </c>
      <c r="Q14" s="371">
        <f t="shared" si="1"/>
        <v>2677</v>
      </c>
      <c r="R14" s="371">
        <f>+R15+R16</f>
        <v>1349</v>
      </c>
      <c r="S14" s="371">
        <f t="shared" si="1"/>
        <v>1281</v>
      </c>
      <c r="T14" s="371">
        <f t="shared" si="1"/>
        <v>1354</v>
      </c>
      <c r="U14" s="371">
        <v>923</v>
      </c>
      <c r="V14" s="371">
        <f>+O14</f>
        <v>1276</v>
      </c>
      <c r="W14" s="371">
        <v>1305</v>
      </c>
      <c r="X14" s="371">
        <v>1362</v>
      </c>
      <c r="Y14" s="371">
        <v>1253</v>
      </c>
      <c r="Z14" s="371">
        <v>1218</v>
      </c>
      <c r="AA14" s="371">
        <v>1276</v>
      </c>
      <c r="AB14" s="9"/>
      <c r="AC14" s="9"/>
      <c r="AD14" s="9"/>
      <c r="AE14" s="9"/>
      <c r="AF14" s="222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255"/>
      <c r="AR14" s="160"/>
      <c r="AS14" s="10"/>
      <c r="AT14"/>
      <c r="AU14" s="79"/>
      <c r="AV14" s="79"/>
      <c r="AW14" s="79"/>
      <c r="AX14" s="79"/>
      <c r="AY14" s="79"/>
      <c r="AZ14" s="79"/>
      <c r="BA14" s="79"/>
      <c r="BB14" s="79"/>
    </row>
    <row r="15" spans="1:54" s="91" customFormat="1" x14ac:dyDescent="0.25">
      <c r="A15" s="372"/>
      <c r="B15" s="348"/>
      <c r="C15" s="348"/>
      <c r="D15" s="348"/>
      <c r="E15" s="348"/>
      <c r="F15" s="348"/>
      <c r="G15" s="348">
        <v>2</v>
      </c>
      <c r="H15" s="350" t="s">
        <v>146</v>
      </c>
      <c r="I15" s="344" t="s">
        <v>64</v>
      </c>
      <c r="J15" s="373">
        <v>12957</v>
      </c>
      <c r="K15" s="373">
        <v>12926</v>
      </c>
      <c r="L15" s="373">
        <v>12926</v>
      </c>
      <c r="M15" s="373">
        <v>12541</v>
      </c>
      <c r="N15" s="373">
        <f>SUM(P15:AA15)</f>
        <v>12046</v>
      </c>
      <c r="O15" s="371">
        <f>+AA15</f>
        <v>981</v>
      </c>
      <c r="P15" s="348">
        <v>0</v>
      </c>
      <c r="Q15" s="348">
        <v>2118</v>
      </c>
      <c r="R15" s="348">
        <v>1069</v>
      </c>
      <c r="S15" s="348">
        <v>1003</v>
      </c>
      <c r="T15" s="348">
        <v>1072</v>
      </c>
      <c r="U15" s="348">
        <v>910</v>
      </c>
      <c r="V15" s="348">
        <v>1046</v>
      </c>
      <c r="W15" s="348">
        <v>1026</v>
      </c>
      <c r="X15" s="348">
        <v>1022</v>
      </c>
      <c r="Y15" s="348">
        <v>912</v>
      </c>
      <c r="Z15" s="348">
        <v>887</v>
      </c>
      <c r="AA15" s="348">
        <v>981</v>
      </c>
      <c r="AB15" s="9"/>
      <c r="AC15" s="9"/>
      <c r="AD15" s="9"/>
      <c r="AE15" s="9"/>
      <c r="AF15" s="222"/>
      <c r="AG15" s="9"/>
      <c r="AH15" s="9"/>
      <c r="AI15" s="9"/>
      <c r="AJ15" s="9"/>
      <c r="AK15" s="11"/>
      <c r="AL15" s="9"/>
      <c r="AM15" s="11"/>
      <c r="AN15" s="11"/>
      <c r="AO15" s="11">
        <v>22771.41</v>
      </c>
      <c r="AP15" s="11"/>
      <c r="AQ15" s="256"/>
      <c r="AR15" s="190"/>
      <c r="AS15" s="16"/>
      <c r="AT15"/>
      <c r="AU15" s="136"/>
      <c r="AV15" s="136"/>
      <c r="AW15" s="136"/>
      <c r="AX15" s="136"/>
      <c r="AY15" s="136"/>
      <c r="AZ15" s="136"/>
      <c r="BA15" s="136"/>
      <c r="BB15" s="136"/>
    </row>
    <row r="16" spans="1:54" s="91" customFormat="1" x14ac:dyDescent="0.25">
      <c r="A16" s="372"/>
      <c r="B16" s="348"/>
      <c r="C16" s="348"/>
      <c r="D16" s="348"/>
      <c r="E16" s="348"/>
      <c r="F16" s="348"/>
      <c r="G16" s="348">
        <v>3</v>
      </c>
      <c r="H16" s="350" t="s">
        <v>147</v>
      </c>
      <c r="I16" s="344" t="s">
        <v>64</v>
      </c>
      <c r="J16" s="373">
        <v>3454.9999999999995</v>
      </c>
      <c r="K16" s="373">
        <v>3369</v>
      </c>
      <c r="L16" s="373">
        <v>3389</v>
      </c>
      <c r="M16" s="373">
        <v>3337</v>
      </c>
      <c r="N16" s="373">
        <f>SUM(P16:AA16)</f>
        <v>3278</v>
      </c>
      <c r="O16" s="371">
        <f>+AA16</f>
        <v>295</v>
      </c>
      <c r="P16" s="348">
        <v>0</v>
      </c>
      <c r="Q16" s="348">
        <v>559</v>
      </c>
      <c r="R16" s="348">
        <v>280</v>
      </c>
      <c r="S16" s="348">
        <v>278</v>
      </c>
      <c r="T16" s="348">
        <v>282</v>
      </c>
      <c r="U16" s="348">
        <v>13</v>
      </c>
      <c r="V16" s="348">
        <v>280</v>
      </c>
      <c r="W16" s="348">
        <v>279</v>
      </c>
      <c r="X16" s="348">
        <v>340</v>
      </c>
      <c r="Y16" s="348">
        <v>341</v>
      </c>
      <c r="Z16" s="348">
        <v>331</v>
      </c>
      <c r="AA16" s="348">
        <v>295</v>
      </c>
      <c r="AB16" s="9"/>
      <c r="AC16" s="9"/>
      <c r="AD16" s="9"/>
      <c r="AE16" s="9"/>
      <c r="AF16" s="222"/>
      <c r="AG16" s="9"/>
      <c r="AH16" s="9"/>
      <c r="AI16" s="9"/>
      <c r="AJ16" s="9"/>
      <c r="AK16" s="11"/>
      <c r="AL16" s="9"/>
      <c r="AM16" s="11"/>
      <c r="AN16" s="11"/>
      <c r="AO16" s="11">
        <v>33674.61</v>
      </c>
      <c r="AP16" s="11"/>
      <c r="AQ16" s="256"/>
      <c r="AR16" s="190"/>
      <c r="AS16" s="16"/>
      <c r="AT16"/>
      <c r="AU16" s="79"/>
      <c r="AV16" s="79"/>
      <c r="AW16" s="79"/>
      <c r="AX16" s="79"/>
      <c r="AY16" s="79"/>
      <c r="AZ16" s="79"/>
      <c r="BA16" s="79"/>
      <c r="BB16" s="79"/>
    </row>
    <row r="17" spans="1:54" s="91" customFormat="1" ht="30" x14ac:dyDescent="0.25">
      <c r="A17" s="368"/>
      <c r="B17" s="369"/>
      <c r="C17" s="369"/>
      <c r="D17" s="369"/>
      <c r="E17" s="369">
        <v>3</v>
      </c>
      <c r="F17" s="369">
        <v>0</v>
      </c>
      <c r="G17" s="369"/>
      <c r="H17" s="339" t="s">
        <v>148</v>
      </c>
      <c r="I17" s="340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9">
        <v>19878286</v>
      </c>
      <c r="AC17" s="9">
        <v>3442667</v>
      </c>
      <c r="AD17" s="9">
        <v>3442667</v>
      </c>
      <c r="AE17" s="9">
        <v>3280579</v>
      </c>
      <c r="AF17" s="222">
        <f>2899869.07+AS17</f>
        <v>3201203.4099999997</v>
      </c>
      <c r="AG17" s="9">
        <f>+AS17</f>
        <v>301334.34000000003</v>
      </c>
      <c r="AH17" s="11">
        <v>207451.27</v>
      </c>
      <c r="AI17" s="11">
        <v>252944.99</v>
      </c>
      <c r="AJ17" s="11">
        <v>255696.81</v>
      </c>
      <c r="AK17" s="11">
        <v>240369.8</v>
      </c>
      <c r="AL17" s="11">
        <v>262841.78999999998</v>
      </c>
      <c r="AM17" s="11">
        <v>41398</v>
      </c>
      <c r="AN17" s="11">
        <v>118502.75</v>
      </c>
      <c r="AO17" s="11">
        <v>12226.45</v>
      </c>
      <c r="AP17" s="11">
        <v>36295.879999999997</v>
      </c>
      <c r="AQ17" s="256">
        <v>270069.5</v>
      </c>
      <c r="AR17" s="190">
        <v>251188.6</v>
      </c>
      <c r="AS17" s="192">
        <v>301334.34000000003</v>
      </c>
      <c r="AT17"/>
      <c r="AU17" s="79">
        <v>8137</v>
      </c>
      <c r="AV17" s="79">
        <v>20077068.859999999</v>
      </c>
      <c r="AW17" s="79">
        <v>8137</v>
      </c>
      <c r="AX17" s="79">
        <v>20077068.859999988</v>
      </c>
      <c r="AY17" s="79">
        <v>8137</v>
      </c>
      <c r="AZ17" s="79">
        <v>20277839.548599999</v>
      </c>
      <c r="BA17" s="79">
        <v>8137</v>
      </c>
      <c r="BB17" s="79">
        <v>20277839.548599988</v>
      </c>
    </row>
    <row r="18" spans="1:54" s="91" customFormat="1" ht="30" x14ac:dyDescent="0.25">
      <c r="A18" s="368">
        <v>4</v>
      </c>
      <c r="B18" s="348"/>
      <c r="C18" s="348"/>
      <c r="D18" s="348"/>
      <c r="E18" s="348"/>
      <c r="F18" s="348"/>
      <c r="G18" s="348">
        <v>1</v>
      </c>
      <c r="H18" s="339" t="s">
        <v>149</v>
      </c>
      <c r="I18" s="340" t="s">
        <v>64</v>
      </c>
      <c r="J18" s="371">
        <f>J19+J20</f>
        <v>8099.9999999999991</v>
      </c>
      <c r="K18" s="371">
        <f>K19+K20</f>
        <v>8100</v>
      </c>
      <c r="L18" s="371">
        <f>L19+L20</f>
        <v>8100</v>
      </c>
      <c r="M18" s="371">
        <v>7991</v>
      </c>
      <c r="N18" s="371">
        <f>N19+N20</f>
        <v>7355</v>
      </c>
      <c r="O18" s="371">
        <f>+AA18</f>
        <v>32</v>
      </c>
      <c r="P18" s="371">
        <f t="shared" ref="P18:V18" si="2">+P19+P20</f>
        <v>0</v>
      </c>
      <c r="Q18" s="371">
        <f t="shared" si="2"/>
        <v>1334</v>
      </c>
      <c r="R18" s="371">
        <f>+R19+R20</f>
        <v>667</v>
      </c>
      <c r="S18" s="371">
        <f t="shared" si="2"/>
        <v>666</v>
      </c>
      <c r="T18" s="371">
        <f t="shared" si="2"/>
        <v>667</v>
      </c>
      <c r="U18" s="371">
        <v>667</v>
      </c>
      <c r="V18" s="371">
        <f t="shared" si="2"/>
        <v>667</v>
      </c>
      <c r="W18" s="371">
        <v>667</v>
      </c>
      <c r="X18" s="371">
        <v>663</v>
      </c>
      <c r="Y18" s="371">
        <v>663</v>
      </c>
      <c r="Z18" s="371">
        <v>662</v>
      </c>
      <c r="AA18" s="371">
        <v>32</v>
      </c>
      <c r="AB18" s="9"/>
      <c r="AC18" s="9"/>
      <c r="AD18" s="9"/>
      <c r="AE18" s="9"/>
      <c r="AF18" s="222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5"/>
      <c r="AR18" s="160"/>
      <c r="AS18" s="10"/>
      <c r="AT18"/>
      <c r="AU18" s="79"/>
      <c r="AV18" s="79"/>
      <c r="AW18" s="79"/>
      <c r="AX18" s="79"/>
      <c r="AY18" s="79"/>
      <c r="AZ18" s="79"/>
      <c r="BA18" s="79"/>
      <c r="BB18" s="79"/>
    </row>
    <row r="19" spans="1:54" s="91" customFormat="1" x14ac:dyDescent="0.25">
      <c r="A19" s="372"/>
      <c r="B19" s="348"/>
      <c r="C19" s="348"/>
      <c r="D19" s="348"/>
      <c r="E19" s="348"/>
      <c r="F19" s="348"/>
      <c r="G19" s="348">
        <v>2</v>
      </c>
      <c r="H19" s="350" t="s">
        <v>150</v>
      </c>
      <c r="I19" s="344" t="s">
        <v>64</v>
      </c>
      <c r="J19" s="373">
        <v>7703.9999999999991</v>
      </c>
      <c r="K19" s="373">
        <v>7704</v>
      </c>
      <c r="L19" s="373">
        <v>7704</v>
      </c>
      <c r="M19" s="373">
        <v>7603</v>
      </c>
      <c r="N19" s="348">
        <f>+SUM(P19:AA19)</f>
        <v>6968</v>
      </c>
      <c r="O19" s="371">
        <f>+AA19</f>
        <v>0</v>
      </c>
      <c r="P19" s="348">
        <v>0</v>
      </c>
      <c r="Q19" s="348">
        <v>1268</v>
      </c>
      <c r="R19" s="348">
        <v>634</v>
      </c>
      <c r="S19" s="348">
        <v>634</v>
      </c>
      <c r="T19" s="348">
        <v>634</v>
      </c>
      <c r="U19" s="348">
        <v>634</v>
      </c>
      <c r="V19" s="348">
        <v>634</v>
      </c>
      <c r="W19" s="348">
        <v>634</v>
      </c>
      <c r="X19" s="348">
        <v>632</v>
      </c>
      <c r="Y19" s="348">
        <v>632</v>
      </c>
      <c r="Z19" s="348">
        <v>632</v>
      </c>
      <c r="AA19" s="348">
        <v>0</v>
      </c>
      <c r="AB19" s="9"/>
      <c r="AC19" s="9"/>
      <c r="AD19" s="9"/>
      <c r="AE19" s="9"/>
      <c r="AF19" s="222"/>
      <c r="AG19" s="9"/>
      <c r="AH19" s="9"/>
      <c r="AI19" s="9"/>
      <c r="AJ19" s="9"/>
      <c r="AK19" s="11"/>
      <c r="AL19" s="9"/>
      <c r="AM19" s="11"/>
      <c r="AN19" s="11"/>
      <c r="AO19" s="11"/>
      <c r="AP19" s="11"/>
      <c r="AQ19" s="256"/>
      <c r="AR19" s="190"/>
      <c r="AS19" s="16"/>
      <c r="AT19"/>
      <c r="AU19" s="79"/>
      <c r="AV19" s="79"/>
      <c r="AW19" s="79"/>
      <c r="AX19" s="79"/>
      <c r="AY19" s="79"/>
      <c r="AZ19" s="79"/>
      <c r="BA19" s="79"/>
      <c r="BB19" s="79"/>
    </row>
    <row r="20" spans="1:54" s="91" customFormat="1" x14ac:dyDescent="0.25">
      <c r="A20" s="372"/>
      <c r="B20" s="348"/>
      <c r="C20" s="348"/>
      <c r="D20" s="348"/>
      <c r="E20" s="348"/>
      <c r="F20" s="348"/>
      <c r="G20" s="348">
        <v>3</v>
      </c>
      <c r="H20" s="350" t="s">
        <v>151</v>
      </c>
      <c r="I20" s="344" t="s">
        <v>64</v>
      </c>
      <c r="J20" s="373">
        <v>395.99999999999994</v>
      </c>
      <c r="K20" s="373">
        <v>396</v>
      </c>
      <c r="L20" s="373">
        <v>396</v>
      </c>
      <c r="M20" s="373">
        <v>388</v>
      </c>
      <c r="N20" s="348">
        <f>+SUM(P20:AA20)</f>
        <v>387</v>
      </c>
      <c r="O20" s="371">
        <f>+AA20</f>
        <v>32</v>
      </c>
      <c r="P20" s="348">
        <v>0</v>
      </c>
      <c r="Q20" s="348">
        <v>66</v>
      </c>
      <c r="R20" s="348">
        <v>33</v>
      </c>
      <c r="S20" s="348">
        <v>32</v>
      </c>
      <c r="T20" s="348">
        <v>33</v>
      </c>
      <c r="U20" s="348">
        <v>33</v>
      </c>
      <c r="V20" s="348">
        <v>33</v>
      </c>
      <c r="W20" s="348">
        <v>33</v>
      </c>
      <c r="X20" s="348">
        <v>31</v>
      </c>
      <c r="Y20" s="348">
        <v>31</v>
      </c>
      <c r="Z20" s="348">
        <v>30</v>
      </c>
      <c r="AA20" s="348">
        <v>32</v>
      </c>
      <c r="AB20" s="9"/>
      <c r="AC20" s="9"/>
      <c r="AD20" s="9"/>
      <c r="AE20" s="9"/>
      <c r="AF20" s="222"/>
      <c r="AG20" s="9"/>
      <c r="AH20" s="9"/>
      <c r="AI20" s="9"/>
      <c r="AJ20" s="9"/>
      <c r="AK20" s="11"/>
      <c r="AL20" s="9"/>
      <c r="AM20" s="11"/>
      <c r="AN20" s="11"/>
      <c r="AO20" s="11"/>
      <c r="AP20" s="11"/>
      <c r="AQ20" s="256"/>
      <c r="AR20" s="190"/>
      <c r="AS20" s="16"/>
      <c r="AT20"/>
      <c r="AU20" s="136"/>
      <c r="AV20" s="136"/>
      <c r="AW20" s="137"/>
      <c r="AX20" s="138"/>
      <c r="AY20" s="137"/>
      <c r="AZ20" s="136"/>
      <c r="BA20" s="137"/>
      <c r="BB20" s="136"/>
    </row>
    <row r="21" spans="1:54" s="91" customFormat="1" ht="30" x14ac:dyDescent="0.25">
      <c r="A21" s="372"/>
      <c r="B21" s="348"/>
      <c r="C21" s="348"/>
      <c r="D21" s="348"/>
      <c r="E21" s="369">
        <v>4</v>
      </c>
      <c r="F21" s="369">
        <v>0</v>
      </c>
      <c r="G21" s="348"/>
      <c r="H21" s="339" t="s">
        <v>152</v>
      </c>
      <c r="I21" s="344"/>
      <c r="J21" s="348"/>
      <c r="K21" s="348"/>
      <c r="L21" s="348"/>
      <c r="M21" s="348"/>
      <c r="N21" s="348"/>
      <c r="O21" s="369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9">
        <v>25577517.549999997</v>
      </c>
      <c r="AC21" s="9">
        <v>13474319</v>
      </c>
      <c r="AD21" s="9">
        <v>13474319</v>
      </c>
      <c r="AE21" s="9">
        <v>10042755</v>
      </c>
      <c r="AF21" s="222">
        <f>6065293.45+AS21</f>
        <v>9298411.6600000001</v>
      </c>
      <c r="AG21" s="9">
        <f>+AS21</f>
        <v>3233118.21</v>
      </c>
      <c r="AH21" s="11">
        <v>372645.79</v>
      </c>
      <c r="AI21" s="11">
        <v>437272.35</v>
      </c>
      <c r="AJ21" s="11">
        <v>521122.09</v>
      </c>
      <c r="AK21" s="11">
        <v>421924.54</v>
      </c>
      <c r="AL21" s="11">
        <v>533356.59</v>
      </c>
      <c r="AM21" s="11">
        <v>155836.76</v>
      </c>
      <c r="AN21" s="11">
        <v>413041.83</v>
      </c>
      <c r="AO21" s="11">
        <v>45018.79</v>
      </c>
      <c r="AP21" s="11">
        <v>367349.88</v>
      </c>
      <c r="AQ21" s="256">
        <v>532986.22</v>
      </c>
      <c r="AR21" s="190">
        <v>568757.47</v>
      </c>
      <c r="AS21" s="16">
        <v>3233118.21</v>
      </c>
      <c r="AT21"/>
      <c r="AU21" s="79">
        <v>9527</v>
      </c>
      <c r="AV21" s="79">
        <v>25833292.725500003</v>
      </c>
      <c r="AW21" s="79">
        <v>9527</v>
      </c>
      <c r="AX21" s="79">
        <v>25833292.72550001</v>
      </c>
      <c r="AY21" s="79">
        <v>9527</v>
      </c>
      <c r="AZ21" s="79">
        <v>26091625.652755003</v>
      </c>
      <c r="BA21" s="79">
        <v>9527</v>
      </c>
      <c r="BB21" s="79">
        <v>26091625.652755011</v>
      </c>
    </row>
    <row r="22" spans="1:54" s="91" customFormat="1" x14ac:dyDescent="0.25">
      <c r="A22" s="368">
        <v>4</v>
      </c>
      <c r="B22" s="348"/>
      <c r="C22" s="348"/>
      <c r="D22" s="348"/>
      <c r="E22" s="348"/>
      <c r="F22" s="348"/>
      <c r="G22" s="348">
        <v>1</v>
      </c>
      <c r="H22" s="339" t="s">
        <v>153</v>
      </c>
      <c r="I22" s="340" t="s">
        <v>64</v>
      </c>
      <c r="J22" s="371">
        <f>SUM(J23:J25)</f>
        <v>9612</v>
      </c>
      <c r="K22" s="371">
        <f>SUM(K23:K25)</f>
        <v>9508</v>
      </c>
      <c r="L22" s="371">
        <f>SUM(L23:L25)</f>
        <v>9508</v>
      </c>
      <c r="M22" s="371">
        <v>8954</v>
      </c>
      <c r="N22" s="371">
        <f>SUM(N23:N25)</f>
        <v>8527</v>
      </c>
      <c r="O22" s="371">
        <f>+AA22</f>
        <v>675</v>
      </c>
      <c r="P22" s="371">
        <f t="shared" ref="P22:W22" si="3">+P23+P24+P25</f>
        <v>0</v>
      </c>
      <c r="Q22" s="371">
        <f t="shared" si="3"/>
        <v>1485</v>
      </c>
      <c r="R22" s="371">
        <f>+R23+R24+R25</f>
        <v>752</v>
      </c>
      <c r="S22" s="371">
        <f t="shared" si="3"/>
        <v>753</v>
      </c>
      <c r="T22" s="371">
        <f t="shared" si="3"/>
        <v>747</v>
      </c>
      <c r="U22" s="371">
        <v>746</v>
      </c>
      <c r="V22" s="371">
        <v>748</v>
      </c>
      <c r="W22" s="371">
        <f t="shared" si="3"/>
        <v>746</v>
      </c>
      <c r="X22" s="371">
        <v>716</v>
      </c>
      <c r="Y22" s="371">
        <v>545</v>
      </c>
      <c r="Z22" s="371">
        <v>614</v>
      </c>
      <c r="AA22" s="371">
        <v>675</v>
      </c>
      <c r="AB22" s="9"/>
      <c r="AC22" s="9"/>
      <c r="AD22" s="9"/>
      <c r="AE22" s="9"/>
      <c r="AF22" s="222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255"/>
      <c r="AR22" s="160"/>
      <c r="AS22" s="10"/>
      <c r="AT22"/>
      <c r="AU22" s="79"/>
      <c r="AV22" s="79"/>
      <c r="AW22" s="79"/>
      <c r="AX22" s="79"/>
      <c r="AY22" s="79"/>
      <c r="AZ22" s="79"/>
      <c r="BA22" s="79"/>
      <c r="BB22" s="79"/>
    </row>
    <row r="23" spans="1:54" s="91" customFormat="1" x14ac:dyDescent="0.25">
      <c r="A23" s="372"/>
      <c r="B23" s="348"/>
      <c r="C23" s="348"/>
      <c r="D23" s="348"/>
      <c r="E23" s="348"/>
      <c r="F23" s="348"/>
      <c r="G23" s="348">
        <v>2</v>
      </c>
      <c r="H23" s="350" t="s">
        <v>154</v>
      </c>
      <c r="I23" s="344" t="s">
        <v>64</v>
      </c>
      <c r="J23" s="373">
        <v>3416</v>
      </c>
      <c r="K23" s="373">
        <v>3265</v>
      </c>
      <c r="L23" s="373">
        <v>3265</v>
      </c>
      <c r="M23" s="373">
        <v>2991</v>
      </c>
      <c r="N23" s="348">
        <f>+SUM(P23:AA23)</f>
        <v>2806</v>
      </c>
      <c r="O23" s="371">
        <f>+AA23</f>
        <v>198</v>
      </c>
      <c r="P23" s="348">
        <v>0</v>
      </c>
      <c r="Q23" s="348">
        <v>497</v>
      </c>
      <c r="R23" s="348">
        <v>254</v>
      </c>
      <c r="S23" s="348">
        <v>255</v>
      </c>
      <c r="T23" s="348">
        <v>262</v>
      </c>
      <c r="U23" s="348">
        <v>261</v>
      </c>
      <c r="V23" s="348">
        <v>263</v>
      </c>
      <c r="W23" s="348">
        <v>262</v>
      </c>
      <c r="X23" s="348">
        <v>223</v>
      </c>
      <c r="Y23" s="348">
        <v>154</v>
      </c>
      <c r="Z23" s="348">
        <v>177</v>
      </c>
      <c r="AA23" s="348">
        <v>198</v>
      </c>
      <c r="AB23" s="11"/>
      <c r="AC23" s="11"/>
      <c r="AD23" s="11"/>
      <c r="AE23" s="11"/>
      <c r="AF23" s="221"/>
      <c r="AG23" s="9"/>
      <c r="AH23" s="11"/>
      <c r="AI23" s="11"/>
      <c r="AJ23" s="11"/>
      <c r="AK23" s="11"/>
      <c r="AL23" s="11"/>
      <c r="AM23" s="11"/>
      <c r="AN23" s="11"/>
      <c r="AO23" s="11">
        <v>3210.16</v>
      </c>
      <c r="AP23" s="11"/>
      <c r="AQ23" s="256"/>
      <c r="AR23" s="190"/>
      <c r="AS23" s="16"/>
      <c r="AT23"/>
      <c r="AU23" s="79"/>
      <c r="AV23" s="79"/>
      <c r="AW23" s="79"/>
      <c r="AX23" s="79"/>
      <c r="AY23" s="79"/>
      <c r="AZ23" s="79"/>
      <c r="BA23" s="79"/>
      <c r="BB23" s="79"/>
    </row>
    <row r="24" spans="1:54" s="91" customFormat="1" ht="40.5" x14ac:dyDescent="0.25">
      <c r="A24" s="372"/>
      <c r="B24" s="348"/>
      <c r="C24" s="348"/>
      <c r="D24" s="348"/>
      <c r="E24" s="348"/>
      <c r="F24" s="348"/>
      <c r="G24" s="348">
        <v>3</v>
      </c>
      <c r="H24" s="350" t="s">
        <v>155</v>
      </c>
      <c r="I24" s="344" t="s">
        <v>64</v>
      </c>
      <c r="J24" s="373">
        <v>2985</v>
      </c>
      <c r="K24" s="373">
        <v>2985</v>
      </c>
      <c r="L24" s="373">
        <v>2985</v>
      </c>
      <c r="M24" s="373">
        <v>2740</v>
      </c>
      <c r="N24" s="348">
        <f>+SUM(P24:AA24)</f>
        <v>2572</v>
      </c>
      <c r="O24" s="371">
        <f>+AA24</f>
        <v>239</v>
      </c>
      <c r="P24" s="348">
        <v>0</v>
      </c>
      <c r="Q24" s="348">
        <v>446</v>
      </c>
      <c r="R24" s="348">
        <v>225</v>
      </c>
      <c r="S24" s="348">
        <v>225</v>
      </c>
      <c r="T24" s="348">
        <v>211</v>
      </c>
      <c r="U24" s="348">
        <v>211</v>
      </c>
      <c r="V24" s="348">
        <v>211</v>
      </c>
      <c r="W24" s="348">
        <v>210</v>
      </c>
      <c r="X24" s="348">
        <v>237</v>
      </c>
      <c r="Y24" s="348">
        <v>146</v>
      </c>
      <c r="Z24" s="348">
        <v>211</v>
      </c>
      <c r="AA24" s="348">
        <v>239</v>
      </c>
      <c r="AB24" s="11"/>
      <c r="AC24" s="11"/>
      <c r="AD24" s="11"/>
      <c r="AE24" s="11"/>
      <c r="AF24" s="221"/>
      <c r="AG24" s="9"/>
      <c r="AH24" s="11"/>
      <c r="AI24" s="11"/>
      <c r="AJ24" s="11"/>
      <c r="AK24" s="11"/>
      <c r="AL24" s="11"/>
      <c r="AM24" s="11"/>
      <c r="AN24" s="11"/>
      <c r="AO24" s="11">
        <v>35071</v>
      </c>
      <c r="AP24" s="11"/>
      <c r="AQ24" s="256"/>
      <c r="AR24" s="190"/>
      <c r="AS24" s="16"/>
      <c r="AT24"/>
      <c r="AU24" s="79"/>
      <c r="AV24" s="79"/>
      <c r="AW24" s="79"/>
      <c r="AX24" s="79"/>
      <c r="AY24" s="79"/>
      <c r="AZ24" s="79"/>
      <c r="BA24" s="79"/>
      <c r="BB24" s="79"/>
    </row>
    <row r="25" spans="1:54" s="91" customFormat="1" ht="27" x14ac:dyDescent="0.25">
      <c r="A25" s="368"/>
      <c r="B25" s="369"/>
      <c r="C25" s="369"/>
      <c r="D25" s="369"/>
      <c r="E25" s="369"/>
      <c r="F25" s="369"/>
      <c r="G25" s="348">
        <v>4</v>
      </c>
      <c r="H25" s="350" t="s">
        <v>156</v>
      </c>
      <c r="I25" s="344" t="s">
        <v>64</v>
      </c>
      <c r="J25" s="373">
        <v>3211</v>
      </c>
      <c r="K25" s="373">
        <v>3258</v>
      </c>
      <c r="L25" s="373">
        <v>3258</v>
      </c>
      <c r="M25" s="373">
        <v>3223</v>
      </c>
      <c r="N25" s="348">
        <f>+SUM(P25:AA25)</f>
        <v>3149</v>
      </c>
      <c r="O25" s="371">
        <f>+AA25</f>
        <v>238</v>
      </c>
      <c r="P25" s="348">
        <v>0</v>
      </c>
      <c r="Q25" s="348">
        <v>542</v>
      </c>
      <c r="R25" s="348">
        <v>273</v>
      </c>
      <c r="S25" s="348">
        <v>273</v>
      </c>
      <c r="T25" s="348">
        <v>274</v>
      </c>
      <c r="U25" s="348">
        <v>274</v>
      </c>
      <c r="V25" s="348">
        <v>274</v>
      </c>
      <c r="W25" s="348">
        <v>274</v>
      </c>
      <c r="X25" s="348">
        <v>256</v>
      </c>
      <c r="Y25" s="348">
        <v>245</v>
      </c>
      <c r="Z25" s="348">
        <v>226</v>
      </c>
      <c r="AA25" s="348">
        <v>238</v>
      </c>
      <c r="AB25" s="11"/>
      <c r="AC25" s="11"/>
      <c r="AD25" s="11"/>
      <c r="AE25" s="11"/>
      <c r="AF25" s="221"/>
      <c r="AG25" s="9"/>
      <c r="AH25" s="11"/>
      <c r="AI25" s="11"/>
      <c r="AJ25" s="11"/>
      <c r="AK25" s="11"/>
      <c r="AL25" s="11"/>
      <c r="AM25" s="11"/>
      <c r="AN25" s="11"/>
      <c r="AO25" s="11">
        <v>6737.63</v>
      </c>
      <c r="AP25" s="11"/>
      <c r="AQ25" s="256"/>
      <c r="AR25" s="190"/>
      <c r="AS25" s="16"/>
      <c r="AT25"/>
      <c r="AU25" s="79"/>
      <c r="AV25" s="79"/>
      <c r="AW25" s="79"/>
      <c r="AX25" s="79"/>
      <c r="AY25" s="79"/>
      <c r="AZ25" s="79"/>
      <c r="BA25" s="79"/>
      <c r="BB25" s="79"/>
    </row>
    <row r="26" spans="1:54" s="91" customFormat="1" x14ac:dyDescent="0.25">
      <c r="A26" s="368"/>
      <c r="B26" s="369">
        <v>99</v>
      </c>
      <c r="C26" s="369"/>
      <c r="D26" s="369"/>
      <c r="E26" s="369"/>
      <c r="F26" s="369"/>
      <c r="G26" s="369"/>
      <c r="H26" s="361" t="s">
        <v>112</v>
      </c>
      <c r="I26" s="348"/>
      <c r="J26" s="348"/>
      <c r="K26" s="348"/>
      <c r="L26" s="348"/>
      <c r="M26" s="348"/>
      <c r="N26" s="348"/>
      <c r="O26" s="369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11"/>
      <c r="AC26" s="11"/>
      <c r="AD26" s="11"/>
      <c r="AE26" s="11"/>
      <c r="AF26" s="221"/>
      <c r="AG26" s="9"/>
      <c r="AH26" s="11"/>
      <c r="AI26" s="11"/>
      <c r="AJ26" s="11"/>
      <c r="AK26" s="11"/>
      <c r="AL26" s="11"/>
      <c r="AM26" s="11"/>
      <c r="AN26" s="11"/>
      <c r="AO26" s="11"/>
      <c r="AP26" s="11"/>
      <c r="AQ26" s="256"/>
      <c r="AR26" s="190"/>
      <c r="AS26" s="16"/>
      <c r="AT26"/>
      <c r="AU26" s="79"/>
      <c r="AV26" s="79"/>
      <c r="AW26" s="79"/>
      <c r="AX26" s="79"/>
      <c r="AY26" s="79"/>
      <c r="AZ26" s="79"/>
      <c r="BA26" s="79"/>
      <c r="BB26" s="79"/>
    </row>
    <row r="27" spans="1:54" s="91" customFormat="1" x14ac:dyDescent="0.25">
      <c r="A27" s="368"/>
      <c r="B27" s="369"/>
      <c r="C27" s="369">
        <v>0</v>
      </c>
      <c r="D27" s="369"/>
      <c r="E27" s="369"/>
      <c r="F27" s="369"/>
      <c r="G27" s="369"/>
      <c r="H27" s="361" t="s">
        <v>30</v>
      </c>
      <c r="I27" s="348"/>
      <c r="J27" s="348"/>
      <c r="K27" s="348"/>
      <c r="L27" s="348"/>
      <c r="M27" s="348"/>
      <c r="N27" s="348"/>
      <c r="O27" s="369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11"/>
      <c r="AC27" s="11"/>
      <c r="AD27" s="11"/>
      <c r="AE27" s="11"/>
      <c r="AF27" s="221"/>
      <c r="AG27" s="9"/>
      <c r="AH27" s="11"/>
      <c r="AI27" s="11"/>
      <c r="AJ27" s="11"/>
      <c r="AK27" s="11"/>
      <c r="AL27" s="11"/>
      <c r="AM27" s="11"/>
      <c r="AN27" s="11"/>
      <c r="AO27" s="11"/>
      <c r="AP27" s="11"/>
      <c r="AQ27" s="256"/>
      <c r="AR27" s="190"/>
      <c r="AS27" s="16"/>
      <c r="AT27"/>
      <c r="AU27" s="79"/>
      <c r="AV27" s="79"/>
      <c r="AW27" s="79"/>
      <c r="AX27" s="79"/>
      <c r="AY27" s="79"/>
      <c r="AZ27" s="79"/>
      <c r="BA27" s="79"/>
      <c r="BB27" s="79"/>
    </row>
    <row r="28" spans="1:54" s="91" customFormat="1" x14ac:dyDescent="0.25">
      <c r="A28" s="368"/>
      <c r="B28" s="369"/>
      <c r="C28" s="369"/>
      <c r="D28" s="369">
        <v>0</v>
      </c>
      <c r="E28" s="369"/>
      <c r="F28" s="369"/>
      <c r="G28" s="369"/>
      <c r="H28" s="361" t="s">
        <v>31</v>
      </c>
      <c r="I28" s="348"/>
      <c r="J28" s="348"/>
      <c r="K28" s="348"/>
      <c r="L28" s="348"/>
      <c r="M28" s="348"/>
      <c r="N28" s="348"/>
      <c r="O28" s="369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11"/>
      <c r="AC28" s="11"/>
      <c r="AD28" s="11"/>
      <c r="AE28" s="11"/>
      <c r="AF28" s="221"/>
      <c r="AG28" s="9"/>
      <c r="AH28" s="11"/>
      <c r="AI28" s="11"/>
      <c r="AJ28" s="11"/>
      <c r="AK28" s="11"/>
      <c r="AL28" s="11"/>
      <c r="AM28" s="11"/>
      <c r="AN28" s="11"/>
      <c r="AO28" s="11"/>
      <c r="AP28" s="11"/>
      <c r="AQ28" s="256"/>
      <c r="AR28" s="190"/>
      <c r="AS28" s="16"/>
      <c r="AT28"/>
      <c r="AU28" s="79"/>
      <c r="AV28" s="79"/>
      <c r="AW28" s="79"/>
      <c r="AX28" s="79"/>
      <c r="AY28" s="79"/>
      <c r="AZ28" s="79"/>
      <c r="BA28" s="79"/>
      <c r="BB28" s="79"/>
    </row>
    <row r="29" spans="1:54" s="91" customFormat="1" ht="30" x14ac:dyDescent="0.25">
      <c r="A29" s="368"/>
      <c r="B29" s="369"/>
      <c r="C29" s="369"/>
      <c r="D29" s="369"/>
      <c r="E29" s="369">
        <v>2</v>
      </c>
      <c r="F29" s="369">
        <v>0</v>
      </c>
      <c r="G29" s="369"/>
      <c r="H29" s="339" t="s">
        <v>44</v>
      </c>
      <c r="I29" s="348"/>
      <c r="J29" s="348"/>
      <c r="K29" s="348"/>
      <c r="L29" s="348"/>
      <c r="M29" s="348"/>
      <c r="N29" s="348"/>
      <c r="O29" s="369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9">
        <v>500000</v>
      </c>
      <c r="AC29" s="9">
        <v>168000</v>
      </c>
      <c r="AD29" s="9">
        <v>168000</v>
      </c>
      <c r="AE29" s="9">
        <v>821614</v>
      </c>
      <c r="AF29" s="192">
        <v>797656.67</v>
      </c>
      <c r="AG29" s="9">
        <f>+AS29</f>
        <v>0</v>
      </c>
      <c r="AH29" s="11">
        <v>0</v>
      </c>
      <c r="AI29" s="11">
        <v>162539.29</v>
      </c>
      <c r="AJ29" s="11">
        <v>0</v>
      </c>
      <c r="AK29" s="11">
        <v>659074.69999999995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256">
        <v>0</v>
      </c>
      <c r="AR29" s="190">
        <v>0</v>
      </c>
      <c r="AS29" s="16">
        <v>0</v>
      </c>
      <c r="AT29"/>
      <c r="AU29" s="79">
        <v>2</v>
      </c>
      <c r="AV29" s="79">
        <v>500000</v>
      </c>
      <c r="AW29" s="79">
        <v>2</v>
      </c>
      <c r="AX29" s="79">
        <v>500000</v>
      </c>
      <c r="AY29" s="79">
        <v>2</v>
      </c>
      <c r="AZ29" s="79">
        <v>500000</v>
      </c>
      <c r="BA29" s="79">
        <v>2</v>
      </c>
      <c r="BB29" s="79">
        <v>500000</v>
      </c>
    </row>
    <row r="30" spans="1:54" s="91" customFormat="1" x14ac:dyDescent="0.25">
      <c r="A30" s="368"/>
      <c r="B30" s="369"/>
      <c r="C30" s="369"/>
      <c r="D30" s="369"/>
      <c r="E30" s="369"/>
      <c r="F30" s="369"/>
      <c r="G30" s="369"/>
      <c r="H30" s="361" t="s">
        <v>45</v>
      </c>
      <c r="I30" s="369" t="s">
        <v>43</v>
      </c>
      <c r="J30" s="371">
        <f>J31</f>
        <v>2</v>
      </c>
      <c r="K30" s="371">
        <f>K31</f>
        <v>2</v>
      </c>
      <c r="L30" s="371">
        <f>L31</f>
        <v>2</v>
      </c>
      <c r="M30" s="371">
        <f>M31</f>
        <v>2</v>
      </c>
      <c r="N30" s="348">
        <f>+SUM(P30:AA30)</f>
        <v>0</v>
      </c>
      <c r="O30" s="371">
        <f t="shared" ref="O30:O31" si="4">+Z30</f>
        <v>0</v>
      </c>
      <c r="P30" s="371">
        <f>+P31</f>
        <v>0</v>
      </c>
      <c r="Q30" s="371">
        <f>+Q31</f>
        <v>0</v>
      </c>
      <c r="R30" s="371">
        <f>+R31</f>
        <v>0</v>
      </c>
      <c r="S30" s="371">
        <f t="shared" ref="S30:AA30" si="5">+S31</f>
        <v>0</v>
      </c>
      <c r="T30" s="371">
        <f t="shared" si="5"/>
        <v>0</v>
      </c>
      <c r="U30" s="371">
        <f t="shared" si="5"/>
        <v>0</v>
      </c>
      <c r="V30" s="371">
        <f t="shared" si="5"/>
        <v>0</v>
      </c>
      <c r="W30" s="371">
        <f t="shared" si="5"/>
        <v>0</v>
      </c>
      <c r="X30" s="371">
        <f t="shared" si="5"/>
        <v>0</v>
      </c>
      <c r="Y30" s="371">
        <f t="shared" si="5"/>
        <v>0</v>
      </c>
      <c r="Z30" s="371">
        <f t="shared" si="5"/>
        <v>0</v>
      </c>
      <c r="AA30" s="371">
        <f t="shared" si="5"/>
        <v>0</v>
      </c>
      <c r="AB30" s="11"/>
      <c r="AC30" s="11"/>
      <c r="AD30" s="11"/>
      <c r="AE30" s="11"/>
      <c r="AF30" s="221"/>
      <c r="AG30" s="9"/>
      <c r="AH30" s="11"/>
      <c r="AI30" s="11"/>
      <c r="AJ30" s="11"/>
      <c r="AK30" s="9"/>
      <c r="AL30" s="9"/>
      <c r="AM30" s="9"/>
      <c r="AN30" s="9"/>
      <c r="AO30" s="9"/>
      <c r="AP30" s="9"/>
      <c r="AQ30" s="255"/>
      <c r="AR30" s="160"/>
      <c r="AS30" s="10"/>
      <c r="AT30"/>
      <c r="AU30" s="79"/>
      <c r="AV30" s="79"/>
      <c r="AW30" s="79"/>
      <c r="AX30" s="79"/>
      <c r="AY30" s="79"/>
      <c r="AZ30" s="79"/>
      <c r="BA30" s="79"/>
      <c r="BB30" s="79"/>
    </row>
    <row r="31" spans="1:54" s="91" customFormat="1" ht="27" x14ac:dyDescent="0.25">
      <c r="A31" s="368"/>
      <c r="B31" s="369"/>
      <c r="C31" s="369"/>
      <c r="D31" s="369"/>
      <c r="E31" s="369"/>
      <c r="F31" s="369"/>
      <c r="G31" s="369"/>
      <c r="H31" s="350" t="s">
        <v>45</v>
      </c>
      <c r="I31" s="348" t="s">
        <v>43</v>
      </c>
      <c r="J31" s="373">
        <v>2</v>
      </c>
      <c r="K31" s="373">
        <v>2</v>
      </c>
      <c r="L31" s="373">
        <v>2</v>
      </c>
      <c r="M31" s="373">
        <v>2</v>
      </c>
      <c r="N31" s="348">
        <f>+SUM(P31:AA31)</f>
        <v>0</v>
      </c>
      <c r="O31" s="371">
        <f t="shared" si="4"/>
        <v>0</v>
      </c>
      <c r="P31" s="348">
        <v>0</v>
      </c>
      <c r="Q31" s="348">
        <v>0</v>
      </c>
      <c r="R31" s="348">
        <v>0</v>
      </c>
      <c r="S31" s="348">
        <v>0</v>
      </c>
      <c r="T31" s="348">
        <v>0</v>
      </c>
      <c r="U31" s="348">
        <v>0</v>
      </c>
      <c r="V31" s="348">
        <v>0</v>
      </c>
      <c r="W31" s="348">
        <v>0</v>
      </c>
      <c r="X31" s="348">
        <v>0</v>
      </c>
      <c r="Y31" s="348">
        <v>0</v>
      </c>
      <c r="Z31" s="348">
        <v>0</v>
      </c>
      <c r="AA31" s="348">
        <v>0</v>
      </c>
      <c r="AB31" s="11"/>
      <c r="AC31" s="11"/>
      <c r="AD31" s="11"/>
      <c r="AE31" s="11"/>
      <c r="AF31" s="221"/>
      <c r="AG31" s="9"/>
      <c r="AH31" s="11"/>
      <c r="AI31" s="11"/>
      <c r="AJ31" s="11"/>
      <c r="AK31" s="11"/>
      <c r="AL31" s="11"/>
      <c r="AM31" s="11"/>
      <c r="AN31" s="11"/>
      <c r="AO31" s="11"/>
      <c r="AP31" s="11"/>
      <c r="AQ31" s="256"/>
      <c r="AR31" s="190"/>
      <c r="AS31" s="16"/>
      <c r="AT31"/>
      <c r="AU31" s="79"/>
      <c r="AV31" s="79"/>
      <c r="AW31" s="79"/>
      <c r="AX31" s="79"/>
      <c r="AY31" s="79"/>
      <c r="AZ31" s="79"/>
      <c r="BA31" s="79"/>
      <c r="BB31" s="79"/>
    </row>
    <row r="32" spans="1:54" s="91" customFormat="1" ht="30" x14ac:dyDescent="0.25">
      <c r="A32" s="368"/>
      <c r="B32" s="369"/>
      <c r="C32" s="369"/>
      <c r="D32" s="369"/>
      <c r="E32" s="369">
        <v>3</v>
      </c>
      <c r="F32" s="369">
        <v>0</v>
      </c>
      <c r="G32" s="369"/>
      <c r="H32" s="339" t="s">
        <v>157</v>
      </c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9">
        <v>500000</v>
      </c>
      <c r="AC32" s="9">
        <v>210000</v>
      </c>
      <c r="AD32" s="9">
        <v>210000</v>
      </c>
      <c r="AE32" s="9">
        <v>500964</v>
      </c>
      <c r="AF32" s="222">
        <f>400973.54+AS32</f>
        <v>401871.8</v>
      </c>
      <c r="AG32" s="9">
        <f>+AS32</f>
        <v>898.26</v>
      </c>
      <c r="AH32" s="11">
        <v>0</v>
      </c>
      <c r="AI32" s="11">
        <v>115570.2</v>
      </c>
      <c r="AJ32" s="11">
        <v>0</v>
      </c>
      <c r="AK32" s="11">
        <v>84213.36</v>
      </c>
      <c r="AL32" s="11">
        <v>115228.5</v>
      </c>
      <c r="AM32" s="11">
        <v>0</v>
      </c>
      <c r="AN32" s="11">
        <v>0</v>
      </c>
      <c r="AO32" s="11">
        <v>0</v>
      </c>
      <c r="AP32" s="11">
        <v>0</v>
      </c>
      <c r="AQ32" s="256">
        <v>0</v>
      </c>
      <c r="AR32" s="190">
        <v>85961.48</v>
      </c>
      <c r="AS32" s="16">
        <v>898.26</v>
      </c>
      <c r="AT32"/>
      <c r="AU32" s="79">
        <v>2</v>
      </c>
      <c r="AV32" s="79">
        <v>500000</v>
      </c>
      <c r="AW32" s="79">
        <v>2</v>
      </c>
      <c r="AX32" s="79">
        <v>500000</v>
      </c>
      <c r="AY32" s="79">
        <v>2</v>
      </c>
      <c r="AZ32" s="79">
        <v>500000</v>
      </c>
      <c r="BA32" s="79">
        <v>2</v>
      </c>
      <c r="BB32" s="79">
        <v>500000</v>
      </c>
    </row>
    <row r="33" spans="1:54" s="91" customFormat="1" ht="30" x14ac:dyDescent="0.25">
      <c r="A33" s="368"/>
      <c r="B33" s="369"/>
      <c r="C33" s="369"/>
      <c r="D33" s="369"/>
      <c r="E33" s="369"/>
      <c r="F33" s="369"/>
      <c r="G33" s="369"/>
      <c r="H33" s="339" t="s">
        <v>47</v>
      </c>
      <c r="I33" s="369" t="s">
        <v>43</v>
      </c>
      <c r="J33" s="371">
        <f>J34</f>
        <v>2</v>
      </c>
      <c r="K33" s="371">
        <f>K34</f>
        <v>2</v>
      </c>
      <c r="L33" s="371">
        <f>L34</f>
        <v>2</v>
      </c>
      <c r="M33" s="371">
        <f>M34</f>
        <v>2</v>
      </c>
      <c r="N33" s="348">
        <f>+SUM(P33:AA33)</f>
        <v>0</v>
      </c>
      <c r="O33" s="371">
        <f t="shared" ref="O33:O34" si="6">+Z33</f>
        <v>0</v>
      </c>
      <c r="P33" s="371">
        <f>+P34</f>
        <v>0</v>
      </c>
      <c r="Q33" s="371">
        <v>0</v>
      </c>
      <c r="R33" s="371">
        <f>+R34</f>
        <v>0</v>
      </c>
      <c r="S33" s="371">
        <f t="shared" ref="S33:AA33" si="7">+S34</f>
        <v>0</v>
      </c>
      <c r="T33" s="371">
        <f t="shared" si="7"/>
        <v>0</v>
      </c>
      <c r="U33" s="371">
        <f t="shared" si="7"/>
        <v>0</v>
      </c>
      <c r="V33" s="371">
        <f t="shared" si="7"/>
        <v>0</v>
      </c>
      <c r="W33" s="371">
        <f t="shared" si="7"/>
        <v>0</v>
      </c>
      <c r="X33" s="371">
        <f t="shared" si="7"/>
        <v>0</v>
      </c>
      <c r="Y33" s="371">
        <f t="shared" si="7"/>
        <v>0</v>
      </c>
      <c r="Z33" s="371">
        <f t="shared" si="7"/>
        <v>0</v>
      </c>
      <c r="AA33" s="371">
        <f t="shared" si="7"/>
        <v>0</v>
      </c>
      <c r="AB33" s="11"/>
      <c r="AC33" s="11"/>
      <c r="AD33" s="11"/>
      <c r="AE33" s="11"/>
      <c r="AF33" s="221"/>
      <c r="AG33" s="11"/>
      <c r="AH33" s="11"/>
      <c r="AI33" s="11"/>
      <c r="AJ33" s="11"/>
      <c r="AK33" s="9"/>
      <c r="AL33" s="9"/>
      <c r="AM33" s="9"/>
      <c r="AN33" s="9"/>
      <c r="AO33" s="9"/>
      <c r="AP33" s="9"/>
      <c r="AQ33" s="255"/>
      <c r="AR33" s="160"/>
      <c r="AS33" s="10"/>
      <c r="AT33"/>
      <c r="AU33" s="79"/>
      <c r="AV33" s="79"/>
      <c r="AW33" s="79"/>
      <c r="AX33" s="79"/>
      <c r="AY33" s="79"/>
      <c r="AZ33" s="79"/>
      <c r="BA33" s="79"/>
      <c r="BB33" s="79"/>
    </row>
    <row r="34" spans="1:54" s="91" customFormat="1" ht="27.75" thickBot="1" x14ac:dyDescent="0.3">
      <c r="A34" s="374"/>
      <c r="B34" s="375"/>
      <c r="C34" s="375"/>
      <c r="D34" s="375"/>
      <c r="E34" s="375"/>
      <c r="F34" s="375"/>
      <c r="G34" s="375"/>
      <c r="H34" s="354" t="s">
        <v>47</v>
      </c>
      <c r="I34" s="376" t="s">
        <v>43</v>
      </c>
      <c r="J34" s="377">
        <v>2</v>
      </c>
      <c r="K34" s="377">
        <v>2</v>
      </c>
      <c r="L34" s="377">
        <v>2</v>
      </c>
      <c r="M34" s="377">
        <v>2</v>
      </c>
      <c r="N34" s="376">
        <f>+SUM(P34:AA34)</f>
        <v>0</v>
      </c>
      <c r="O34" s="371">
        <f t="shared" si="6"/>
        <v>0</v>
      </c>
      <c r="P34" s="376">
        <v>0</v>
      </c>
      <c r="Q34" s="376">
        <v>0</v>
      </c>
      <c r="R34" s="376">
        <v>0</v>
      </c>
      <c r="S34" s="376">
        <v>0</v>
      </c>
      <c r="T34" s="376">
        <v>0</v>
      </c>
      <c r="U34" s="376">
        <v>0</v>
      </c>
      <c r="V34" s="376">
        <v>0</v>
      </c>
      <c r="W34" s="376">
        <v>0</v>
      </c>
      <c r="X34" s="376">
        <v>0</v>
      </c>
      <c r="Y34" s="376">
        <v>0</v>
      </c>
      <c r="Z34" s="376">
        <v>0</v>
      </c>
      <c r="AA34" s="376">
        <v>0</v>
      </c>
      <c r="AB34" s="15"/>
      <c r="AC34" s="15"/>
      <c r="AD34" s="15"/>
      <c r="AE34" s="15"/>
      <c r="AF34" s="223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257"/>
      <c r="AR34" s="191"/>
      <c r="AS34" s="17"/>
      <c r="AT34"/>
      <c r="AU34" s="79"/>
      <c r="AV34" s="79"/>
      <c r="AW34" s="79"/>
      <c r="AX34" s="79"/>
      <c r="AY34" s="79"/>
      <c r="AZ34" s="79"/>
      <c r="BA34" s="79"/>
      <c r="BB34" s="79"/>
    </row>
    <row r="35" spans="1:54" s="91" customFormat="1" x14ac:dyDescent="0.25">
      <c r="AF35" s="224"/>
      <c r="AQ35" s="224"/>
      <c r="AT35"/>
    </row>
    <row r="36" spans="1:54" s="91" customFormat="1" x14ac:dyDescent="0.25">
      <c r="AF36" s="224"/>
      <c r="AQ36" s="224"/>
      <c r="AT36"/>
    </row>
    <row r="38" spans="1:54" x14ac:dyDescent="0.25">
      <c r="H38" t="s">
        <v>214</v>
      </c>
    </row>
    <row r="39" spans="1:54" x14ac:dyDescent="0.25">
      <c r="H39" t="s">
        <v>225</v>
      </c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BC55"/>
  <sheetViews>
    <sheetView zoomScale="85" zoomScaleNormal="85" workbookViewId="0">
      <pane xSplit="8" ySplit="6" topLeftCell="I13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N21" sqref="N2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2" width="10.7109375" customWidth="1"/>
    <col min="13" max="13" width="11.28515625" style="211" bestFit="1" customWidth="1"/>
    <col min="14" max="14" width="13.7109375" style="211" customWidth="1"/>
    <col min="15" max="15" width="13.7109375" customWidth="1"/>
    <col min="16" max="24" width="13.7109375" hidden="1" customWidth="1"/>
    <col min="25" max="25" width="11" style="211" hidden="1" customWidth="1"/>
    <col min="26" max="27" width="13.7109375" hidden="1" customWidth="1"/>
    <col min="28" max="30" width="13.7109375" customWidth="1"/>
    <col min="31" max="33" width="16" customWidth="1"/>
    <col min="34" max="45" width="13.7109375" hidden="1" customWidth="1"/>
    <col min="46" max="46" width="11.5703125" bestFit="1" customWidth="1"/>
    <col min="48" max="48" width="10.7109375" customWidth="1"/>
    <col min="49" max="49" width="13.7109375" customWidth="1"/>
    <col min="50" max="50" width="10.7109375" customWidth="1"/>
    <col min="51" max="51" width="13.7109375" customWidth="1"/>
    <col min="52" max="52" width="10.7109375" customWidth="1"/>
    <col min="53" max="53" width="13.7109375" customWidth="1"/>
    <col min="54" max="54" width="11.85546875" customWidth="1"/>
    <col min="55" max="55" width="13.7109375" customWidth="1"/>
  </cols>
  <sheetData>
    <row r="1" spans="1:55" ht="15" customHeight="1" x14ac:dyDescent="0.25">
      <c r="A1" s="32" t="s">
        <v>49</v>
      </c>
    </row>
    <row r="2" spans="1:55" ht="15" customHeight="1" x14ac:dyDescent="0.25">
      <c r="A2" s="32" t="s">
        <v>50</v>
      </c>
    </row>
    <row r="3" spans="1:55" ht="15" customHeight="1" x14ac:dyDescent="0.25">
      <c r="A3" s="32" t="str">
        <f>+'208. UNCOSU'!A3</f>
        <v>EJERCICIO FISCAL 2022 - ACTUALIZADA DICIEMBRE</v>
      </c>
    </row>
    <row r="4" spans="1:55" ht="15" customHeight="1" thickBot="1" x14ac:dyDescent="0.3"/>
    <row r="5" spans="1:55" s="111" customFormat="1" x14ac:dyDescent="0.25">
      <c r="A5" s="327" t="s">
        <v>158</v>
      </c>
      <c r="B5" s="328"/>
      <c r="C5" s="328"/>
      <c r="D5" s="328"/>
      <c r="E5" s="328"/>
      <c r="F5" s="328"/>
      <c r="G5" s="328"/>
      <c r="H5" s="328"/>
      <c r="I5" s="328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220"/>
      <c r="Z5" s="39"/>
      <c r="AA5" s="39"/>
      <c r="AB5" s="329" t="s">
        <v>2</v>
      </c>
      <c r="AC5" s="329"/>
      <c r="AD5" s="329"/>
      <c r="AE5" s="329"/>
      <c r="AF5" s="329"/>
      <c r="AG5" s="330"/>
      <c r="AH5" s="15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132"/>
      <c r="AU5" s="132"/>
      <c r="AV5" s="326" t="s">
        <v>51</v>
      </c>
      <c r="AW5" s="326"/>
      <c r="AX5" s="326" t="s">
        <v>52</v>
      </c>
      <c r="AY5" s="326"/>
      <c r="AZ5" s="326" t="s">
        <v>53</v>
      </c>
      <c r="BA5" s="326"/>
      <c r="BB5" s="326" t="s">
        <v>55</v>
      </c>
      <c r="BC5" s="326"/>
    </row>
    <row r="6" spans="1:55" s="113" customFormat="1" ht="36.75" thickBot="1" x14ac:dyDescent="0.3">
      <c r="A6" s="238" t="s">
        <v>3</v>
      </c>
      <c r="B6" s="229" t="s">
        <v>4</v>
      </c>
      <c r="C6" s="229" t="s">
        <v>5</v>
      </c>
      <c r="D6" s="229" t="s">
        <v>6</v>
      </c>
      <c r="E6" s="229" t="s">
        <v>7</v>
      </c>
      <c r="F6" s="229" t="s">
        <v>8</v>
      </c>
      <c r="G6" s="229" t="s">
        <v>9</v>
      </c>
      <c r="H6" s="230" t="s">
        <v>10</v>
      </c>
      <c r="I6" s="231" t="s">
        <v>11</v>
      </c>
      <c r="J6" s="232" t="s">
        <v>12</v>
      </c>
      <c r="K6" s="232" t="s">
        <v>65</v>
      </c>
      <c r="L6" s="232" t="s">
        <v>13</v>
      </c>
      <c r="M6" s="258" t="s">
        <v>14</v>
      </c>
      <c r="N6" s="252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3" t="s">
        <v>22</v>
      </c>
      <c r="V6" s="233" t="s">
        <v>23</v>
      </c>
      <c r="W6" s="233" t="s">
        <v>24</v>
      </c>
      <c r="X6" s="233" t="s">
        <v>25</v>
      </c>
      <c r="Y6" s="252" t="s">
        <v>26</v>
      </c>
      <c r="Z6" s="233" t="s">
        <v>27</v>
      </c>
      <c r="AA6" s="233" t="s">
        <v>28</v>
      </c>
      <c r="AB6" s="232" t="s">
        <v>12</v>
      </c>
      <c r="AC6" s="232" t="s">
        <v>65</v>
      </c>
      <c r="AD6" s="232" t="s">
        <v>13</v>
      </c>
      <c r="AE6" s="232" t="s">
        <v>14</v>
      </c>
      <c r="AF6" s="233" t="s">
        <v>15</v>
      </c>
      <c r="AG6" s="239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133"/>
      <c r="AU6" s="133"/>
      <c r="AV6" s="68" t="s">
        <v>54</v>
      </c>
      <c r="AW6" s="68" t="s">
        <v>2</v>
      </c>
      <c r="AX6" s="68" t="s">
        <v>54</v>
      </c>
      <c r="AY6" s="68" t="s">
        <v>2</v>
      </c>
      <c r="AZ6" s="68" t="s">
        <v>54</v>
      </c>
      <c r="BA6" s="68" t="s">
        <v>2</v>
      </c>
      <c r="BB6" s="68" t="s">
        <v>54</v>
      </c>
      <c r="BC6" s="68" t="s">
        <v>2</v>
      </c>
    </row>
    <row r="7" spans="1:55" s="111" customFormat="1" x14ac:dyDescent="0.25">
      <c r="A7" s="4"/>
      <c r="B7" s="5">
        <v>17</v>
      </c>
      <c r="C7" s="5"/>
      <c r="D7" s="5"/>
      <c r="E7" s="5"/>
      <c r="F7" s="5"/>
      <c r="G7" s="5"/>
      <c r="H7" s="53" t="s">
        <v>159</v>
      </c>
      <c r="I7" s="199"/>
      <c r="J7" s="11"/>
      <c r="K7" s="11"/>
      <c r="L7" s="11"/>
      <c r="M7" s="221"/>
      <c r="N7" s="221"/>
      <c r="O7" s="11"/>
      <c r="P7" s="11"/>
      <c r="Q7" s="11"/>
      <c r="R7" s="11"/>
      <c r="S7" s="11"/>
      <c r="T7" s="11"/>
      <c r="U7" s="11"/>
      <c r="V7" s="11"/>
      <c r="W7" s="11"/>
      <c r="X7" s="11"/>
      <c r="Y7" s="221"/>
      <c r="Z7" s="11"/>
      <c r="AA7" s="11"/>
      <c r="AB7" s="11"/>
      <c r="AC7" s="11"/>
      <c r="AD7" s="11"/>
      <c r="AE7" s="11"/>
      <c r="AF7" s="11"/>
      <c r="AG7" s="16"/>
      <c r="AH7" s="189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32"/>
      <c r="AU7" s="132"/>
      <c r="AV7" s="11"/>
      <c r="AW7" s="11"/>
      <c r="AX7" s="11"/>
      <c r="AY7" s="11"/>
      <c r="AZ7" s="11"/>
      <c r="BA7" s="11"/>
      <c r="BB7" s="11"/>
      <c r="BC7" s="11"/>
    </row>
    <row r="8" spans="1:55" s="111" customFormat="1" x14ac:dyDescent="0.25">
      <c r="A8" s="4"/>
      <c r="B8" s="5"/>
      <c r="C8" s="5">
        <v>0</v>
      </c>
      <c r="D8" s="5"/>
      <c r="E8" s="5"/>
      <c r="F8" s="5"/>
      <c r="G8" s="5"/>
      <c r="H8" s="53" t="s">
        <v>30</v>
      </c>
      <c r="I8" s="199"/>
      <c r="J8" s="11"/>
      <c r="K8" s="11"/>
      <c r="L8" s="11"/>
      <c r="M8" s="221"/>
      <c r="N8" s="221"/>
      <c r="O8" s="11"/>
      <c r="P8" s="11"/>
      <c r="Q8" s="11"/>
      <c r="R8" s="11"/>
      <c r="S8" s="11"/>
      <c r="T8" s="11"/>
      <c r="U8" s="11"/>
      <c r="V8" s="11"/>
      <c r="W8" s="11"/>
      <c r="X8" s="11"/>
      <c r="Y8" s="221"/>
      <c r="Z8" s="11"/>
      <c r="AA8" s="11"/>
      <c r="AB8" s="11"/>
      <c r="AC8" s="11"/>
      <c r="AD8" s="11"/>
      <c r="AE8" s="11"/>
      <c r="AF8" s="11"/>
      <c r="AG8" s="16"/>
      <c r="AH8" s="190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32"/>
      <c r="AU8" s="132"/>
      <c r="AV8" s="11"/>
      <c r="AW8" s="11"/>
      <c r="AX8" s="11"/>
      <c r="AY8" s="11"/>
      <c r="AZ8" s="11"/>
      <c r="BA8" s="11"/>
      <c r="BB8" s="11"/>
      <c r="BC8" s="11"/>
    </row>
    <row r="9" spans="1:55" s="111" customFormat="1" x14ac:dyDescent="0.25">
      <c r="A9" s="4"/>
      <c r="B9" s="5"/>
      <c r="C9" s="5"/>
      <c r="D9" s="5">
        <v>0</v>
      </c>
      <c r="E9" s="5"/>
      <c r="F9" s="5"/>
      <c r="G9" s="5"/>
      <c r="H9" s="53" t="s">
        <v>31</v>
      </c>
      <c r="I9" s="199"/>
      <c r="J9" s="11"/>
      <c r="K9" s="11"/>
      <c r="L9" s="11"/>
      <c r="M9" s="221"/>
      <c r="N9" s="221"/>
      <c r="O9" s="11"/>
      <c r="P9" s="11"/>
      <c r="Q9" s="11"/>
      <c r="R9" s="11"/>
      <c r="S9" s="11"/>
      <c r="T9" s="11"/>
      <c r="U9" s="11"/>
      <c r="V9" s="11"/>
      <c r="W9" s="11"/>
      <c r="X9" s="11"/>
      <c r="Y9" s="221"/>
      <c r="Z9" s="11"/>
      <c r="AA9" s="11"/>
      <c r="AB9" s="11"/>
      <c r="AC9" s="11"/>
      <c r="AD9" s="11"/>
      <c r="AE9" s="11"/>
      <c r="AF9" s="11"/>
      <c r="AG9" s="10"/>
      <c r="AH9" s="190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32"/>
      <c r="AU9" s="132"/>
      <c r="AV9" s="11"/>
      <c r="AW9" s="11"/>
      <c r="AX9" s="11"/>
      <c r="AY9" s="11"/>
      <c r="AZ9" s="11"/>
      <c r="BA9" s="11"/>
      <c r="BB9" s="11"/>
      <c r="BC9" s="11"/>
    </row>
    <row r="10" spans="1:55" s="111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3" t="s">
        <v>59</v>
      </c>
      <c r="I10" s="199"/>
      <c r="J10" s="11"/>
      <c r="K10" s="11"/>
      <c r="L10" s="11"/>
      <c r="M10" s="221"/>
      <c r="N10" s="22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221"/>
      <c r="Z10" s="11"/>
      <c r="AA10" s="11"/>
      <c r="AB10" s="9">
        <v>208679710.61311305</v>
      </c>
      <c r="AC10" s="9">
        <v>11254410</v>
      </c>
      <c r="AD10" s="9">
        <v>11262410</v>
      </c>
      <c r="AE10" s="9">
        <v>9811630</v>
      </c>
      <c r="AF10" s="9">
        <f>7972958.44+AR10+AS10</f>
        <v>9710740.6900000013</v>
      </c>
      <c r="AG10" s="10">
        <f>+AS10</f>
        <v>1016420.15</v>
      </c>
      <c r="AH10" s="190">
        <v>729569.14</v>
      </c>
      <c r="AI10" s="11">
        <v>857381.16</v>
      </c>
      <c r="AJ10" s="11">
        <v>1111792.71</v>
      </c>
      <c r="AK10" s="11">
        <v>850153.22</v>
      </c>
      <c r="AL10" s="11">
        <v>686002.99</v>
      </c>
      <c r="AM10" s="11">
        <v>45774.15</v>
      </c>
      <c r="AN10" s="11">
        <v>693532.63</v>
      </c>
      <c r="AO10" s="11">
        <v>109255.24</v>
      </c>
      <c r="AP10" s="11">
        <v>39875.56</v>
      </c>
      <c r="AQ10" s="11">
        <v>665438.51</v>
      </c>
      <c r="AR10" s="11">
        <v>721362.1</v>
      </c>
      <c r="AS10" s="16">
        <v>1016420.15</v>
      </c>
      <c r="AT10" s="134"/>
      <c r="AU10" s="132"/>
      <c r="AV10" s="11"/>
      <c r="AW10" s="11"/>
      <c r="AX10" s="11"/>
      <c r="AY10" s="11"/>
      <c r="AZ10" s="11"/>
      <c r="BA10" s="11"/>
      <c r="BB10" s="11"/>
      <c r="BC10" s="11"/>
    </row>
    <row r="11" spans="1:55" s="111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3" t="s">
        <v>60</v>
      </c>
      <c r="I11" s="237" t="s">
        <v>34</v>
      </c>
      <c r="J11" s="9">
        <f>J12</f>
        <v>747</v>
      </c>
      <c r="K11" s="9">
        <f>K12</f>
        <v>598</v>
      </c>
      <c r="L11" s="9">
        <f>L12</f>
        <v>598</v>
      </c>
      <c r="M11" s="222">
        <v>946</v>
      </c>
      <c r="N11" s="222">
        <f>871+O11+Z11</f>
        <v>933</v>
      </c>
      <c r="O11" s="9">
        <f>+AA11</f>
        <v>12</v>
      </c>
      <c r="P11" s="9">
        <f t="shared" ref="P11:AA11" si="0">+P12</f>
        <v>0</v>
      </c>
      <c r="Q11" s="9">
        <f t="shared" si="0"/>
        <v>225</v>
      </c>
      <c r="R11" s="9">
        <f t="shared" si="0"/>
        <v>5</v>
      </c>
      <c r="S11" s="9">
        <f t="shared" si="0"/>
        <v>31</v>
      </c>
      <c r="T11" s="9">
        <f t="shared" si="0"/>
        <v>176</v>
      </c>
      <c r="U11" s="9">
        <f>+U12</f>
        <v>13</v>
      </c>
      <c r="V11" s="9">
        <f t="shared" si="0"/>
        <v>211</v>
      </c>
      <c r="W11" s="9">
        <f t="shared" si="0"/>
        <v>2</v>
      </c>
      <c r="X11" s="9">
        <f t="shared" si="0"/>
        <v>8</v>
      </c>
      <c r="Y11" s="222">
        <v>200</v>
      </c>
      <c r="Z11" s="9">
        <v>50</v>
      </c>
      <c r="AA11" s="9">
        <f t="shared" si="0"/>
        <v>12</v>
      </c>
      <c r="AB11" s="9"/>
      <c r="AC11" s="9"/>
      <c r="AD11" s="9"/>
      <c r="AE11" s="9"/>
      <c r="AF11" s="9"/>
      <c r="AG11" s="10"/>
      <c r="AH11" s="160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139"/>
      <c r="AU11" s="132"/>
      <c r="AV11" s="9">
        <f>+AV12</f>
        <v>1089</v>
      </c>
      <c r="AW11" s="9">
        <f>+AW12</f>
        <v>239044679.44999999</v>
      </c>
      <c r="AX11" s="9">
        <f>+AX12</f>
        <v>1426</v>
      </c>
      <c r="AY11" s="9">
        <v>50148670.920000002</v>
      </c>
      <c r="AZ11" s="9">
        <f>+AZ12</f>
        <v>1694</v>
      </c>
      <c r="BA11" s="9">
        <f>+BA12</f>
        <v>304028117.50999999</v>
      </c>
      <c r="BB11" s="9">
        <f>+BB12</f>
        <v>1913</v>
      </c>
      <c r="BC11" s="9">
        <f>+BC12</f>
        <v>334701127.06</v>
      </c>
    </row>
    <row r="12" spans="1:55" s="111" customFormat="1" x14ac:dyDescent="0.25">
      <c r="A12" s="4"/>
      <c r="B12" s="5"/>
      <c r="C12" s="5"/>
      <c r="D12" s="5"/>
      <c r="E12" s="5"/>
      <c r="F12" s="5"/>
      <c r="G12" s="6">
        <v>2</v>
      </c>
      <c r="H12" s="110" t="s">
        <v>60</v>
      </c>
      <c r="I12" s="199" t="s">
        <v>34</v>
      </c>
      <c r="J12" s="11">
        <v>747</v>
      </c>
      <c r="K12" s="11">
        <v>598</v>
      </c>
      <c r="L12" s="11">
        <v>598</v>
      </c>
      <c r="M12" s="221">
        <v>946</v>
      </c>
      <c r="N12" s="221">
        <f>871+O12+Z12</f>
        <v>933</v>
      </c>
      <c r="O12" s="11">
        <f>+AA12</f>
        <v>12</v>
      </c>
      <c r="P12" s="11">
        <v>0</v>
      </c>
      <c r="Q12" s="11">
        <v>225</v>
      </c>
      <c r="R12" s="11">
        <v>5</v>
      </c>
      <c r="S12" s="11">
        <v>31</v>
      </c>
      <c r="T12" s="11">
        <v>176</v>
      </c>
      <c r="U12" s="11">
        <v>13</v>
      </c>
      <c r="V12" s="11">
        <v>211</v>
      </c>
      <c r="W12" s="11">
        <v>2</v>
      </c>
      <c r="X12" s="11">
        <v>8</v>
      </c>
      <c r="Y12" s="221">
        <v>200</v>
      </c>
      <c r="Z12" s="11">
        <v>50</v>
      </c>
      <c r="AA12" s="11">
        <v>12</v>
      </c>
      <c r="AB12" s="9"/>
      <c r="AC12" s="9"/>
      <c r="AD12" s="9"/>
      <c r="AE12" s="9"/>
      <c r="AF12" s="9"/>
      <c r="AG12" s="10"/>
      <c r="AH12" s="160"/>
      <c r="AI12" s="9"/>
      <c r="AJ12" s="9"/>
      <c r="AK12" s="11"/>
      <c r="AL12" s="9"/>
      <c r="AM12" s="11"/>
      <c r="AN12" s="11"/>
      <c r="AO12" s="11"/>
      <c r="AP12" s="11"/>
      <c r="AQ12" s="11"/>
      <c r="AR12" s="11"/>
      <c r="AS12" s="16"/>
      <c r="AT12" s="139"/>
      <c r="AU12" s="132"/>
      <c r="AV12" s="11">
        <v>1089</v>
      </c>
      <c r="AW12" s="11">
        <v>239044679.44999999</v>
      </c>
      <c r="AX12" s="11">
        <v>1426</v>
      </c>
      <c r="AY12" s="11">
        <v>270697745.19</v>
      </c>
      <c r="AZ12" s="11">
        <v>1694</v>
      </c>
      <c r="BA12" s="11">
        <v>304028117.50999999</v>
      </c>
      <c r="BB12" s="11">
        <v>1913</v>
      </c>
      <c r="BC12" s="11">
        <v>334701127.06</v>
      </c>
    </row>
    <row r="13" spans="1:55" s="111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3" t="s">
        <v>160</v>
      </c>
      <c r="I13" s="199"/>
      <c r="J13" s="11"/>
      <c r="K13" s="11"/>
      <c r="L13" s="11"/>
      <c r="M13" s="221"/>
      <c r="N13" s="22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221"/>
      <c r="Z13" s="11"/>
      <c r="AA13" s="11"/>
      <c r="AB13" s="9">
        <v>38425320</v>
      </c>
      <c r="AC13" s="9">
        <v>13055243</v>
      </c>
      <c r="AD13" s="9">
        <v>13055243</v>
      </c>
      <c r="AE13" s="9">
        <v>11462144</v>
      </c>
      <c r="AF13" s="9">
        <f>9513487.81+AR13+AS13</f>
        <v>11390064.75</v>
      </c>
      <c r="AG13" s="10">
        <f>+AS13</f>
        <v>935705.83</v>
      </c>
      <c r="AH13" s="190">
        <v>943701.87</v>
      </c>
      <c r="AI13" s="11">
        <v>949636.62</v>
      </c>
      <c r="AJ13" s="11">
        <v>983329.34</v>
      </c>
      <c r="AK13" s="11">
        <v>955011.07</v>
      </c>
      <c r="AL13" s="11">
        <v>946176.36</v>
      </c>
      <c r="AM13" s="11">
        <v>52682.45</v>
      </c>
      <c r="AN13" s="11">
        <v>547519.73</v>
      </c>
      <c r="AO13" s="11">
        <v>80215.86</v>
      </c>
      <c r="AP13" s="11">
        <v>88524.47</v>
      </c>
      <c r="AQ13" s="11">
        <v>876750.76</v>
      </c>
      <c r="AR13" s="11">
        <v>940871.11</v>
      </c>
      <c r="AS13" s="16">
        <v>935705.83</v>
      </c>
      <c r="AT13" s="134"/>
      <c r="AU13" s="132"/>
      <c r="AV13" s="11"/>
      <c r="AW13" s="11"/>
      <c r="AX13" s="11"/>
      <c r="AY13" s="11"/>
      <c r="AZ13" s="11"/>
      <c r="BA13" s="11"/>
      <c r="BB13" s="11"/>
      <c r="BC13" s="11"/>
    </row>
    <row r="14" spans="1:55" s="111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3" t="s">
        <v>161</v>
      </c>
      <c r="I14" s="237" t="s">
        <v>101</v>
      </c>
      <c r="J14" s="9">
        <f>J15</f>
        <v>344557</v>
      </c>
      <c r="K14" s="9">
        <f>K15</f>
        <v>241092</v>
      </c>
      <c r="L14" s="9">
        <f>L15</f>
        <v>241092</v>
      </c>
      <c r="M14" s="222">
        <v>396571</v>
      </c>
      <c r="N14" s="222">
        <f>290031+O14+Z14</f>
        <v>359635</v>
      </c>
      <c r="O14" s="9">
        <f>+AA14</f>
        <v>21409</v>
      </c>
      <c r="P14" s="9">
        <f t="shared" ref="P14:AA14" si="1">+P15</f>
        <v>0</v>
      </c>
      <c r="Q14" s="9">
        <f t="shared" si="1"/>
        <v>59872</v>
      </c>
      <c r="R14" s="9">
        <f t="shared" si="1"/>
        <v>22941</v>
      </c>
      <c r="S14" s="9">
        <f t="shared" si="1"/>
        <v>23571</v>
      </c>
      <c r="T14" s="9">
        <f t="shared" si="1"/>
        <v>58667</v>
      </c>
      <c r="U14" s="9">
        <f t="shared" si="1"/>
        <v>29596</v>
      </c>
      <c r="V14" s="9">
        <f t="shared" si="1"/>
        <v>21484</v>
      </c>
      <c r="W14" s="9">
        <f t="shared" si="1"/>
        <v>27390</v>
      </c>
      <c r="X14" s="9">
        <f t="shared" si="1"/>
        <v>22943</v>
      </c>
      <c r="Y14" s="222">
        <v>23567</v>
      </c>
      <c r="Z14" s="9">
        <v>48195</v>
      </c>
      <c r="AA14" s="9">
        <f t="shared" si="1"/>
        <v>21409</v>
      </c>
      <c r="AB14" s="9"/>
      <c r="AC14" s="9"/>
      <c r="AD14" s="9"/>
      <c r="AE14" s="9"/>
      <c r="AF14" s="9"/>
      <c r="AG14" s="10"/>
      <c r="AH14" s="160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132"/>
      <c r="AU14" s="132"/>
      <c r="AV14" s="9">
        <f>+AV15</f>
        <v>395250.9</v>
      </c>
      <c r="AW14" s="9">
        <f>+AW15</f>
        <v>49875454</v>
      </c>
      <c r="AX14" s="9">
        <f>+AX15</f>
        <v>438882</v>
      </c>
      <c r="AY14" s="9">
        <v>68708885.049999982</v>
      </c>
      <c r="AZ14" s="9">
        <f>+AZ15</f>
        <v>484867</v>
      </c>
      <c r="BA14" s="9">
        <f>+BA15</f>
        <v>60024420</v>
      </c>
      <c r="BB14" s="9">
        <f>+BB15</f>
        <v>540872</v>
      </c>
      <c r="BC14" s="9">
        <f>+BC15</f>
        <v>66020720</v>
      </c>
    </row>
    <row r="15" spans="1:55" s="111" customFormat="1" ht="27" x14ac:dyDescent="0.25">
      <c r="A15" s="4"/>
      <c r="B15" s="5"/>
      <c r="C15" s="5"/>
      <c r="D15" s="5"/>
      <c r="E15" s="5"/>
      <c r="F15" s="5"/>
      <c r="G15" s="6">
        <v>2</v>
      </c>
      <c r="H15" s="110" t="s">
        <v>162</v>
      </c>
      <c r="I15" s="199" t="s">
        <v>101</v>
      </c>
      <c r="J15" s="11">
        <v>344557</v>
      </c>
      <c r="K15" s="11">
        <v>241092</v>
      </c>
      <c r="L15" s="11">
        <v>241092</v>
      </c>
      <c r="M15" s="221">
        <f>+M14</f>
        <v>396571</v>
      </c>
      <c r="N15" s="221">
        <f>290031+O15+Z15</f>
        <v>359635</v>
      </c>
      <c r="O15" s="11">
        <f>+AA15</f>
        <v>21409</v>
      </c>
      <c r="P15" s="11">
        <v>0</v>
      </c>
      <c r="Q15" s="11">
        <v>59872</v>
      </c>
      <c r="R15" s="11">
        <v>22941</v>
      </c>
      <c r="S15" s="11">
        <v>23571</v>
      </c>
      <c r="T15" s="11">
        <v>58667</v>
      </c>
      <c r="U15" s="11">
        <v>29596</v>
      </c>
      <c r="V15" s="11">
        <v>21484</v>
      </c>
      <c r="W15" s="11">
        <v>27390</v>
      </c>
      <c r="X15" s="11">
        <v>22943</v>
      </c>
      <c r="Y15" s="221">
        <v>23567</v>
      </c>
      <c r="Z15" s="11">
        <v>48195</v>
      </c>
      <c r="AA15" s="11">
        <v>21409</v>
      </c>
      <c r="AB15" s="11"/>
      <c r="AC15" s="11"/>
      <c r="AD15" s="11"/>
      <c r="AE15" s="11"/>
      <c r="AF15" s="11"/>
      <c r="AG15" s="10"/>
      <c r="AH15" s="190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6"/>
      <c r="AT15" s="132"/>
      <c r="AU15" s="132"/>
      <c r="AV15" s="11">
        <v>395250.9</v>
      </c>
      <c r="AW15" s="11">
        <v>49875454</v>
      </c>
      <c r="AX15" s="11">
        <v>438882</v>
      </c>
      <c r="AY15" s="11">
        <v>54209320</v>
      </c>
      <c r="AZ15" s="11">
        <v>484867</v>
      </c>
      <c r="BA15" s="11">
        <v>60024420</v>
      </c>
      <c r="BB15" s="11">
        <v>540872</v>
      </c>
      <c r="BC15" s="11">
        <v>66020720</v>
      </c>
    </row>
    <row r="16" spans="1:55" s="111" customFormat="1" ht="30" x14ac:dyDescent="0.25">
      <c r="A16" s="59"/>
      <c r="B16" s="5">
        <v>99</v>
      </c>
      <c r="C16" s="5"/>
      <c r="D16" s="5"/>
      <c r="E16" s="5"/>
      <c r="F16" s="5"/>
      <c r="G16" s="5"/>
      <c r="H16" s="53" t="s">
        <v>112</v>
      </c>
      <c r="I16" s="6"/>
      <c r="J16" s="11"/>
      <c r="K16" s="11"/>
      <c r="L16" s="11"/>
      <c r="M16" s="221"/>
      <c r="N16" s="22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221"/>
      <c r="Z16" s="11"/>
      <c r="AA16" s="11"/>
      <c r="AB16" s="11"/>
      <c r="AC16" s="11"/>
      <c r="AD16" s="11"/>
      <c r="AE16" s="11"/>
      <c r="AF16" s="11"/>
      <c r="AG16" s="10"/>
      <c r="AH16" s="190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6"/>
      <c r="AT16" s="132"/>
      <c r="AU16" s="132"/>
      <c r="AV16" s="11"/>
      <c r="AW16" s="11"/>
      <c r="AX16" s="11"/>
      <c r="AY16" s="11"/>
      <c r="AZ16" s="11"/>
      <c r="BA16" s="11"/>
      <c r="BB16" s="11"/>
      <c r="BC16" s="11"/>
    </row>
    <row r="17" spans="1:55" s="111" customFormat="1" x14ac:dyDescent="0.25">
      <c r="A17" s="59"/>
      <c r="B17" s="5"/>
      <c r="C17" s="5">
        <v>0</v>
      </c>
      <c r="D17" s="5"/>
      <c r="E17" s="5"/>
      <c r="F17" s="5"/>
      <c r="G17" s="5"/>
      <c r="H17" s="53" t="s">
        <v>30</v>
      </c>
      <c r="I17" s="6"/>
      <c r="J17" s="11"/>
      <c r="K17" s="11"/>
      <c r="L17" s="11"/>
      <c r="M17" s="221"/>
      <c r="N17" s="22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221"/>
      <c r="Z17" s="11"/>
      <c r="AA17" s="11"/>
      <c r="AB17" s="11"/>
      <c r="AC17" s="11"/>
      <c r="AD17" s="11"/>
      <c r="AE17" s="11"/>
      <c r="AF17" s="11"/>
      <c r="AG17" s="10"/>
      <c r="AH17" s="190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6"/>
      <c r="AT17" s="132"/>
      <c r="AU17" s="132"/>
      <c r="AV17" s="11"/>
      <c r="AW17" s="11"/>
      <c r="AX17" s="11"/>
      <c r="AY17" s="11"/>
      <c r="AZ17" s="11"/>
      <c r="BA17" s="11"/>
      <c r="BB17" s="11"/>
      <c r="BC17" s="11"/>
    </row>
    <row r="18" spans="1:55" s="111" customFormat="1" x14ac:dyDescent="0.25">
      <c r="A18" s="59"/>
      <c r="B18" s="5"/>
      <c r="C18" s="5"/>
      <c r="D18" s="5">
        <v>0</v>
      </c>
      <c r="E18" s="5"/>
      <c r="F18" s="5"/>
      <c r="G18" s="5"/>
      <c r="H18" s="53" t="s">
        <v>31</v>
      </c>
      <c r="I18" s="6"/>
      <c r="J18" s="11"/>
      <c r="K18" s="11"/>
      <c r="L18" s="11"/>
      <c r="M18" s="221"/>
      <c r="N18" s="22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221"/>
      <c r="Z18" s="11"/>
      <c r="AA18" s="11"/>
      <c r="AB18" s="11"/>
      <c r="AC18" s="11"/>
      <c r="AD18" s="11"/>
      <c r="AE18" s="11"/>
      <c r="AF18" s="11"/>
      <c r="AG18" s="10"/>
      <c r="AH18" s="190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6"/>
      <c r="AT18" s="132"/>
      <c r="AU18" s="132"/>
      <c r="AV18" s="11"/>
      <c r="AW18" s="11"/>
      <c r="AX18" s="11"/>
      <c r="AY18" s="11"/>
      <c r="AZ18" s="11"/>
      <c r="BA18" s="11"/>
      <c r="BB18" s="11"/>
      <c r="BC18" s="11"/>
    </row>
    <row r="19" spans="1:55" s="111" customFormat="1" ht="30" x14ac:dyDescent="0.25">
      <c r="A19" s="59"/>
      <c r="B19" s="5"/>
      <c r="C19" s="5"/>
      <c r="D19" s="5"/>
      <c r="E19" s="5">
        <v>2</v>
      </c>
      <c r="F19" s="5">
        <v>0</v>
      </c>
      <c r="G19" s="5"/>
      <c r="H19" s="53" t="s">
        <v>44</v>
      </c>
      <c r="I19" s="6"/>
      <c r="J19" s="11"/>
      <c r="K19" s="11"/>
      <c r="L19" s="11"/>
      <c r="M19" s="221"/>
      <c r="N19" s="22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221"/>
      <c r="Z19" s="11"/>
      <c r="AA19" s="11"/>
      <c r="AB19" s="9">
        <v>673180</v>
      </c>
      <c r="AC19" s="9">
        <v>623180</v>
      </c>
      <c r="AD19" s="9">
        <v>623180</v>
      </c>
      <c r="AE19" s="9">
        <v>623180</v>
      </c>
      <c r="AF19" s="9">
        <f>622598.19+AR19</f>
        <v>622598.18999999994</v>
      </c>
      <c r="AG19" s="10">
        <f>+AR19</f>
        <v>0</v>
      </c>
      <c r="AH19" s="190">
        <v>0</v>
      </c>
      <c r="AI19" s="11">
        <v>0</v>
      </c>
      <c r="AJ19" s="11">
        <v>0</v>
      </c>
      <c r="AK19" s="11">
        <v>253349.2</v>
      </c>
      <c r="AL19" s="11">
        <v>552.96</v>
      </c>
      <c r="AM19" s="11">
        <v>0</v>
      </c>
      <c r="AN19" s="11">
        <v>0</v>
      </c>
      <c r="AO19" s="11">
        <v>368696.03</v>
      </c>
      <c r="AP19" s="11">
        <v>0</v>
      </c>
      <c r="AQ19" s="11">
        <v>0</v>
      </c>
      <c r="AR19" s="11">
        <v>0</v>
      </c>
      <c r="AS19" s="16">
        <v>0</v>
      </c>
      <c r="AT19" s="134"/>
      <c r="AU19" s="132"/>
      <c r="AV19" s="11"/>
      <c r="AW19" s="11"/>
      <c r="AX19" s="11"/>
      <c r="AY19" s="11"/>
      <c r="AZ19" s="11"/>
      <c r="BA19" s="11"/>
      <c r="BB19" s="11"/>
      <c r="BC19" s="11"/>
    </row>
    <row r="20" spans="1:55" s="111" customFormat="1" ht="30" x14ac:dyDescent="0.25">
      <c r="A20" s="59"/>
      <c r="B20" s="5"/>
      <c r="C20" s="5"/>
      <c r="D20" s="5"/>
      <c r="E20" s="5"/>
      <c r="F20" s="5"/>
      <c r="G20" s="5" t="s">
        <v>250</v>
      </c>
      <c r="H20" s="53" t="s">
        <v>45</v>
      </c>
      <c r="I20" s="5" t="s">
        <v>43</v>
      </c>
      <c r="J20" s="9">
        <f>J21</f>
        <v>3</v>
      </c>
      <c r="K20" s="9">
        <f>K21</f>
        <v>3</v>
      </c>
      <c r="L20" s="9">
        <f>L21</f>
        <v>3</v>
      </c>
      <c r="M20" s="222">
        <f>M21</f>
        <v>3</v>
      </c>
      <c r="N20" s="222">
        <f>SUM(P20:AA20)</f>
        <v>3</v>
      </c>
      <c r="O20" s="9">
        <f>+Z20</f>
        <v>0</v>
      </c>
      <c r="P20" s="9">
        <f>P21</f>
        <v>0</v>
      </c>
      <c r="Q20" s="9">
        <f t="shared" ref="Q20:AA20" si="2">Q21</f>
        <v>0</v>
      </c>
      <c r="R20" s="9">
        <f t="shared" si="2"/>
        <v>0</v>
      </c>
      <c r="S20" s="9">
        <f t="shared" si="2"/>
        <v>0</v>
      </c>
      <c r="T20" s="9">
        <f t="shared" si="2"/>
        <v>0</v>
      </c>
      <c r="U20" s="9">
        <f t="shared" si="2"/>
        <v>0</v>
      </c>
      <c r="V20" s="9">
        <f t="shared" si="2"/>
        <v>0</v>
      </c>
      <c r="W20" s="9">
        <f t="shared" si="2"/>
        <v>0</v>
      </c>
      <c r="X20" s="9">
        <f t="shared" si="2"/>
        <v>1</v>
      </c>
      <c r="Y20" s="222">
        <v>2</v>
      </c>
      <c r="Z20" s="9">
        <f t="shared" si="2"/>
        <v>0</v>
      </c>
      <c r="AA20" s="9">
        <f t="shared" si="2"/>
        <v>0</v>
      </c>
      <c r="AB20" s="11"/>
      <c r="AC20" s="11"/>
      <c r="AD20" s="11"/>
      <c r="AE20" s="11"/>
      <c r="AF20" s="11"/>
      <c r="AG20" s="16"/>
      <c r="AH20" s="190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10"/>
      <c r="AT20" s="132"/>
      <c r="AU20" s="132"/>
      <c r="AV20" s="9">
        <f>+AV21</f>
        <v>3</v>
      </c>
      <c r="AW20" s="9">
        <f>+AW21</f>
        <v>673180</v>
      </c>
      <c r="AX20" s="9">
        <f>+AX21</f>
        <v>3</v>
      </c>
      <c r="AY20" s="9">
        <v>721408</v>
      </c>
      <c r="AZ20" s="9">
        <f>+AZ21</f>
        <v>3</v>
      </c>
      <c r="BA20" s="9">
        <f>+BA21</f>
        <v>673180</v>
      </c>
      <c r="BB20" s="9">
        <f>+BB21</f>
        <v>3</v>
      </c>
      <c r="BC20" s="9">
        <f>+BC21</f>
        <v>673180</v>
      </c>
    </row>
    <row r="21" spans="1:55" s="111" customFormat="1" ht="27.75" thickBot="1" x14ac:dyDescent="0.3">
      <c r="A21" s="60"/>
      <c r="B21" s="109"/>
      <c r="C21" s="109"/>
      <c r="D21" s="109"/>
      <c r="E21" s="109"/>
      <c r="F21" s="109"/>
      <c r="G21" s="109"/>
      <c r="H21" s="62" t="s">
        <v>45</v>
      </c>
      <c r="I21" s="61" t="s">
        <v>43</v>
      </c>
      <c r="J21" s="15">
        <v>3</v>
      </c>
      <c r="K21" s="15">
        <v>3</v>
      </c>
      <c r="L21" s="15">
        <v>3</v>
      </c>
      <c r="M21" s="223">
        <v>3</v>
      </c>
      <c r="N21" s="223">
        <f>+SUM(P21:AA21)</f>
        <v>3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1</v>
      </c>
      <c r="Y21" s="223">
        <v>2</v>
      </c>
      <c r="Z21" s="15">
        <v>0</v>
      </c>
      <c r="AA21" s="15">
        <v>0</v>
      </c>
      <c r="AB21" s="15"/>
      <c r="AC21" s="15"/>
      <c r="AD21" s="15"/>
      <c r="AE21" s="15"/>
      <c r="AF21" s="15"/>
      <c r="AG21" s="17"/>
      <c r="AH21" s="191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7"/>
      <c r="AT21" s="132"/>
      <c r="AU21" s="132"/>
      <c r="AV21" s="11">
        <v>3</v>
      </c>
      <c r="AW21" s="11">
        <v>673180</v>
      </c>
      <c r="AX21" s="11">
        <v>3</v>
      </c>
      <c r="AY21" s="11">
        <v>673180</v>
      </c>
      <c r="AZ21" s="11">
        <v>3</v>
      </c>
      <c r="BA21" s="11">
        <v>673180</v>
      </c>
      <c r="BB21" s="11">
        <v>3</v>
      </c>
      <c r="BC21" s="11">
        <v>673180</v>
      </c>
    </row>
    <row r="22" spans="1:55" s="111" customFormat="1" ht="13.5" x14ac:dyDescent="0.25">
      <c r="M22" s="225"/>
      <c r="N22" s="225"/>
      <c r="Y22" s="225"/>
    </row>
    <row r="23" spans="1:55" s="111" customFormat="1" ht="13.5" x14ac:dyDescent="0.25">
      <c r="M23" s="225"/>
      <c r="N23" s="225"/>
      <c r="Y23" s="225"/>
    </row>
    <row r="24" spans="1:55" s="111" customFormat="1" ht="13.5" x14ac:dyDescent="0.25">
      <c r="H24" s="153" t="s">
        <v>223</v>
      </c>
      <c r="M24" s="225"/>
      <c r="N24" s="225"/>
      <c r="Y24" s="225"/>
    </row>
    <row r="25" spans="1:55" s="111" customFormat="1" ht="13.5" x14ac:dyDescent="0.25">
      <c r="H25" s="153" t="s">
        <v>226</v>
      </c>
      <c r="M25" s="225"/>
      <c r="N25" s="225"/>
      <c r="Y25" s="225"/>
    </row>
    <row r="26" spans="1:55" s="111" customFormat="1" ht="13.5" x14ac:dyDescent="0.25">
      <c r="M26" s="225"/>
      <c r="N26" s="225"/>
      <c r="Y26" s="225"/>
    </row>
    <row r="27" spans="1:55" s="111" customFormat="1" ht="13.5" x14ac:dyDescent="0.25">
      <c r="M27" s="225"/>
      <c r="N27" s="225"/>
      <c r="Y27" s="225"/>
    </row>
    <row r="28" spans="1:55" s="111" customFormat="1" ht="13.5" x14ac:dyDescent="0.25">
      <c r="M28" s="225"/>
      <c r="N28" s="225"/>
      <c r="Y28" s="225"/>
    </row>
    <row r="29" spans="1:55" s="111" customFormat="1" ht="13.5" x14ac:dyDescent="0.25">
      <c r="M29" s="225"/>
      <c r="N29" s="225"/>
      <c r="Y29" s="225"/>
    </row>
    <row r="30" spans="1:55" s="111" customFormat="1" ht="13.5" x14ac:dyDescent="0.25">
      <c r="M30" s="225"/>
      <c r="N30" s="225"/>
      <c r="Y30" s="225"/>
    </row>
    <row r="31" spans="1:55" s="111" customFormat="1" ht="13.5" x14ac:dyDescent="0.25">
      <c r="M31" s="225"/>
      <c r="N31" s="225"/>
      <c r="Y31" s="225"/>
    </row>
    <row r="32" spans="1:55" s="111" customFormat="1" ht="13.5" x14ac:dyDescent="0.25">
      <c r="M32" s="225"/>
      <c r="N32" s="225"/>
      <c r="Y32" s="225"/>
    </row>
    <row r="33" spans="13:25" s="111" customFormat="1" ht="13.5" x14ac:dyDescent="0.25">
      <c r="M33" s="225"/>
      <c r="N33" s="225"/>
      <c r="Y33" s="225"/>
    </row>
    <row r="34" spans="13:25" s="111" customFormat="1" ht="13.5" x14ac:dyDescent="0.25">
      <c r="M34" s="225"/>
      <c r="N34" s="225"/>
      <c r="Y34" s="225"/>
    </row>
    <row r="35" spans="13:25" s="111" customFormat="1" ht="13.5" x14ac:dyDescent="0.25">
      <c r="M35" s="225"/>
      <c r="N35" s="225"/>
      <c r="Y35" s="225"/>
    </row>
    <row r="36" spans="13:25" s="111" customFormat="1" ht="13.5" x14ac:dyDescent="0.25">
      <c r="M36" s="225"/>
      <c r="N36" s="225"/>
      <c r="Y36" s="225"/>
    </row>
    <row r="37" spans="13:25" s="111" customFormat="1" ht="13.5" x14ac:dyDescent="0.25">
      <c r="M37" s="225"/>
      <c r="N37" s="225"/>
      <c r="Y37" s="225"/>
    </row>
    <row r="38" spans="13:25" s="111" customFormat="1" ht="13.5" x14ac:dyDescent="0.25">
      <c r="M38" s="225"/>
      <c r="N38" s="225"/>
      <c r="Y38" s="225"/>
    </row>
    <row r="39" spans="13:25" s="111" customFormat="1" ht="13.5" x14ac:dyDescent="0.25">
      <c r="M39" s="225"/>
      <c r="N39" s="225"/>
      <c r="Y39" s="225"/>
    </row>
    <row r="40" spans="13:25" s="111" customFormat="1" ht="13.5" x14ac:dyDescent="0.25">
      <c r="M40" s="225"/>
      <c r="N40" s="225"/>
      <c r="Y40" s="225"/>
    </row>
    <row r="41" spans="13:25" s="111" customFormat="1" ht="13.5" x14ac:dyDescent="0.25">
      <c r="M41" s="225"/>
      <c r="N41" s="225"/>
      <c r="Y41" s="225"/>
    </row>
    <row r="42" spans="13:25" s="111" customFormat="1" ht="13.5" x14ac:dyDescent="0.25">
      <c r="M42" s="225"/>
      <c r="N42" s="225"/>
      <c r="Y42" s="225"/>
    </row>
    <row r="43" spans="13:25" s="111" customFormat="1" ht="13.5" x14ac:dyDescent="0.25">
      <c r="M43" s="225"/>
      <c r="N43" s="225"/>
      <c r="Y43" s="225"/>
    </row>
    <row r="44" spans="13:25" s="111" customFormat="1" ht="13.5" x14ac:dyDescent="0.25">
      <c r="M44" s="225"/>
      <c r="N44" s="225"/>
      <c r="Y44" s="225"/>
    </row>
    <row r="45" spans="13:25" s="111" customFormat="1" ht="13.5" x14ac:dyDescent="0.25">
      <c r="M45" s="225"/>
      <c r="N45" s="225"/>
      <c r="Y45" s="225"/>
    </row>
    <row r="46" spans="13:25" s="111" customFormat="1" ht="13.5" x14ac:dyDescent="0.25">
      <c r="M46" s="225"/>
      <c r="N46" s="225"/>
      <c r="Y46" s="225"/>
    </row>
    <row r="47" spans="13:25" s="111" customFormat="1" ht="13.5" x14ac:dyDescent="0.25">
      <c r="M47" s="225"/>
      <c r="N47" s="225"/>
      <c r="Y47" s="225"/>
    </row>
    <row r="48" spans="13:25" s="111" customFormat="1" ht="13.5" x14ac:dyDescent="0.25">
      <c r="M48" s="225"/>
      <c r="N48" s="225"/>
      <c r="Y48" s="225"/>
    </row>
    <row r="49" spans="13:25" s="111" customFormat="1" ht="13.5" x14ac:dyDescent="0.25">
      <c r="M49" s="225"/>
      <c r="N49" s="225"/>
      <c r="Y49" s="225"/>
    </row>
    <row r="50" spans="13:25" s="111" customFormat="1" ht="13.5" x14ac:dyDescent="0.25">
      <c r="M50" s="225"/>
      <c r="N50" s="225"/>
      <c r="Y50" s="225"/>
    </row>
    <row r="51" spans="13:25" s="111" customFormat="1" ht="13.5" x14ac:dyDescent="0.25">
      <c r="M51" s="225"/>
      <c r="N51" s="225"/>
      <c r="Y51" s="225"/>
    </row>
    <row r="52" spans="13:25" s="111" customFormat="1" ht="13.5" x14ac:dyDescent="0.25">
      <c r="M52" s="225"/>
      <c r="N52" s="225"/>
      <c r="Y52" s="225"/>
    </row>
    <row r="53" spans="13:25" s="111" customFormat="1" ht="13.5" x14ac:dyDescent="0.25">
      <c r="M53" s="225"/>
      <c r="N53" s="225"/>
      <c r="Y53" s="225"/>
    </row>
    <row r="54" spans="13:25" s="111" customFormat="1" ht="13.5" x14ac:dyDescent="0.25">
      <c r="M54" s="225"/>
      <c r="N54" s="225"/>
      <c r="Y54" s="225"/>
    </row>
    <row r="55" spans="13:25" s="111" customFormat="1" ht="13.5" x14ac:dyDescent="0.25">
      <c r="M55" s="225"/>
      <c r="N55" s="225"/>
      <c r="Y55" s="225"/>
    </row>
  </sheetData>
  <mergeCells count="7">
    <mergeCell ref="AX5:AY5"/>
    <mergeCell ref="AZ5:BA5"/>
    <mergeCell ref="BB5:BC5"/>
    <mergeCell ref="A5:I5"/>
    <mergeCell ref="J5:O5"/>
    <mergeCell ref="AB5:AG5"/>
    <mergeCell ref="AV5:AW5"/>
  </mergeCells>
  <pageMargins left="0.7" right="0.7" top="0.75" bottom="0.75" header="0.3" footer="0.3"/>
  <ignoredErrors>
    <ignoredError sqref="AF11:AF1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BB34"/>
  <sheetViews>
    <sheetView zoomScale="85" zoomScaleNormal="85" workbookViewId="0">
      <pane xSplit="8" ySplit="6" topLeftCell="I19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P1" sqref="AP1:AS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5" width="13.7109375" hidden="1" customWidth="1"/>
    <col min="26" max="26" width="12" hidden="1" customWidth="1"/>
    <col min="27" max="28" width="13.7109375" hidden="1" customWidth="1"/>
    <col min="29" max="31" width="13.7109375" customWidth="1"/>
    <col min="32" max="32" width="13.7109375" style="211" customWidth="1"/>
    <col min="33" max="33" width="13.7109375" customWidth="1"/>
    <col min="34" max="42" width="13.7109375" hidden="1" customWidth="1"/>
    <col min="43" max="43" width="13.7109375" style="211" hidden="1" customWidth="1"/>
    <col min="44" max="45" width="13.7109375" hidden="1" customWidth="1"/>
    <col min="46" max="46" width="13.7109375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+'210. DGCT'!A3</f>
        <v>EJERCICIO FISCAL 2022 - ACTUALIZADA DICIEMBRE</v>
      </c>
    </row>
    <row r="4" spans="1:54" ht="15" customHeight="1" thickBot="1" x14ac:dyDescent="0.3"/>
    <row r="5" spans="1:54" x14ac:dyDescent="0.25">
      <c r="A5" s="332" t="s">
        <v>163</v>
      </c>
      <c r="B5" s="329"/>
      <c r="C5" s="329"/>
      <c r="D5" s="329"/>
      <c r="E5" s="329"/>
      <c r="F5" s="329"/>
      <c r="G5" s="329"/>
      <c r="H5" s="329"/>
      <c r="I5" s="329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29" t="s">
        <v>2</v>
      </c>
      <c r="AC5" s="329"/>
      <c r="AD5" s="329"/>
      <c r="AE5" s="329"/>
      <c r="AF5" s="329"/>
      <c r="AG5" s="329"/>
      <c r="AH5" s="39"/>
      <c r="AI5" s="39"/>
      <c r="AJ5" s="39"/>
      <c r="AK5" s="39"/>
      <c r="AL5" s="39"/>
      <c r="AM5" s="39"/>
      <c r="AN5" s="39"/>
      <c r="AO5" s="39"/>
      <c r="AP5" s="39"/>
      <c r="AQ5" s="253"/>
      <c r="AR5" s="158"/>
      <c r="AS5" s="40"/>
      <c r="AT5" s="50"/>
      <c r="AU5" s="326" t="s">
        <v>51</v>
      </c>
      <c r="AV5" s="326"/>
      <c r="AW5" s="326" t="s">
        <v>52</v>
      </c>
      <c r="AX5" s="326"/>
      <c r="AY5" s="326" t="s">
        <v>53</v>
      </c>
      <c r="AZ5" s="326"/>
      <c r="BA5" s="326" t="s">
        <v>55</v>
      </c>
      <c r="BB5" s="326"/>
    </row>
    <row r="6" spans="1:54" s="7" customFormat="1" ht="34.5" thickBot="1" x14ac:dyDescent="0.3">
      <c r="A6" s="260" t="s">
        <v>3</v>
      </c>
      <c r="B6" s="259" t="s">
        <v>4</v>
      </c>
      <c r="C6" s="259" t="s">
        <v>5</v>
      </c>
      <c r="D6" s="259" t="s">
        <v>6</v>
      </c>
      <c r="E6" s="259" t="s">
        <v>7</v>
      </c>
      <c r="F6" s="259" t="s">
        <v>8</v>
      </c>
      <c r="G6" s="259" t="s">
        <v>9</v>
      </c>
      <c r="H6" s="230" t="s">
        <v>10</v>
      </c>
      <c r="I6" s="231" t="s">
        <v>11</v>
      </c>
      <c r="J6" s="232" t="s">
        <v>12</v>
      </c>
      <c r="K6" s="232" t="s">
        <v>65</v>
      </c>
      <c r="L6" s="232" t="s">
        <v>13</v>
      </c>
      <c r="M6" s="233" t="s">
        <v>14</v>
      </c>
      <c r="N6" s="233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3" t="s">
        <v>22</v>
      </c>
      <c r="V6" s="233" t="s">
        <v>23</v>
      </c>
      <c r="W6" s="233" t="s">
        <v>24</v>
      </c>
      <c r="X6" s="233" t="s">
        <v>25</v>
      </c>
      <c r="Y6" s="233" t="s">
        <v>26</v>
      </c>
      <c r="Z6" s="233" t="s">
        <v>27</v>
      </c>
      <c r="AA6" s="233" t="s">
        <v>28</v>
      </c>
      <c r="AB6" s="232" t="s">
        <v>12</v>
      </c>
      <c r="AC6" s="232" t="s">
        <v>65</v>
      </c>
      <c r="AD6" s="232" t="s">
        <v>13</v>
      </c>
      <c r="AE6" s="232" t="s">
        <v>14</v>
      </c>
      <c r="AF6" s="252" t="s">
        <v>15</v>
      </c>
      <c r="AG6" s="233" t="s">
        <v>16</v>
      </c>
      <c r="AH6" s="233" t="s">
        <v>17</v>
      </c>
      <c r="AI6" s="233" t="s">
        <v>18</v>
      </c>
      <c r="AJ6" s="233" t="s">
        <v>19</v>
      </c>
      <c r="AK6" s="233" t="s">
        <v>20</v>
      </c>
      <c r="AL6" s="233" t="s">
        <v>21</v>
      </c>
      <c r="AM6" s="233" t="s">
        <v>22</v>
      </c>
      <c r="AN6" s="233" t="s">
        <v>23</v>
      </c>
      <c r="AO6" s="233" t="s">
        <v>24</v>
      </c>
      <c r="AP6" s="233" t="s">
        <v>25</v>
      </c>
      <c r="AQ6" s="254" t="s">
        <v>26</v>
      </c>
      <c r="AR6" s="30" t="s">
        <v>27</v>
      </c>
      <c r="AS6" s="29" t="s">
        <v>28</v>
      </c>
      <c r="AT6" s="92"/>
      <c r="AU6" s="68" t="s">
        <v>54</v>
      </c>
      <c r="AV6" s="68" t="s">
        <v>2</v>
      </c>
      <c r="AW6" s="68" t="s">
        <v>54</v>
      </c>
      <c r="AX6" s="68" t="s">
        <v>2</v>
      </c>
      <c r="AY6" s="68" t="s">
        <v>54</v>
      </c>
      <c r="AZ6" s="68" t="s">
        <v>2</v>
      </c>
      <c r="BA6" s="68" t="s">
        <v>54</v>
      </c>
      <c r="BB6" s="68" t="s">
        <v>2</v>
      </c>
    </row>
    <row r="7" spans="1:54" x14ac:dyDescent="0.25">
      <c r="A7" s="4"/>
      <c r="B7" s="5">
        <v>22</v>
      </c>
      <c r="C7" s="5"/>
      <c r="D7" s="5"/>
      <c r="E7" s="6"/>
      <c r="F7" s="6"/>
      <c r="G7" s="6"/>
      <c r="H7" s="53" t="s">
        <v>164</v>
      </c>
      <c r="I7" s="199"/>
      <c r="J7" s="140"/>
      <c r="K7" s="140"/>
      <c r="L7" s="14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  <c r="AF7" s="22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256"/>
      <c r="AR7" s="189"/>
      <c r="AS7" s="23"/>
      <c r="AT7" s="123"/>
      <c r="AU7" s="11"/>
      <c r="AV7" s="126"/>
      <c r="AW7" s="11"/>
      <c r="AX7" s="126"/>
      <c r="AY7" s="11"/>
      <c r="AZ7" s="126"/>
      <c r="BA7" s="11"/>
      <c r="BB7" s="127"/>
    </row>
    <row r="8" spans="1:54" x14ac:dyDescent="0.25">
      <c r="A8" s="4"/>
      <c r="B8" s="5"/>
      <c r="C8" s="5">
        <v>0</v>
      </c>
      <c r="D8" s="5"/>
      <c r="E8" s="6"/>
      <c r="F8" s="6"/>
      <c r="G8" s="6"/>
      <c r="H8" s="53" t="s">
        <v>30</v>
      </c>
      <c r="I8" s="199"/>
      <c r="J8" s="140"/>
      <c r="K8" s="140"/>
      <c r="L8" s="14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9"/>
      <c r="AC8" s="9"/>
      <c r="AD8" s="9"/>
      <c r="AE8" s="11"/>
      <c r="AF8" s="22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256"/>
      <c r="AR8" s="190"/>
      <c r="AS8" s="16"/>
      <c r="AT8" s="123"/>
      <c r="AU8" s="11"/>
      <c r="AV8" s="126"/>
      <c r="AW8" s="11"/>
      <c r="AX8" s="126"/>
      <c r="AY8" s="11"/>
      <c r="AZ8" s="126"/>
      <c r="BA8" s="11"/>
      <c r="BB8" s="127"/>
    </row>
    <row r="9" spans="1:54" x14ac:dyDescent="0.25">
      <c r="A9" s="4"/>
      <c r="B9" s="5"/>
      <c r="C9" s="5"/>
      <c r="D9" s="5">
        <v>0</v>
      </c>
      <c r="E9" s="6"/>
      <c r="F9" s="6"/>
      <c r="G9" s="6"/>
      <c r="H9" s="53" t="s">
        <v>31</v>
      </c>
      <c r="I9" s="19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2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256"/>
      <c r="AR9" s="190"/>
      <c r="AS9" s="16"/>
      <c r="AT9" s="123"/>
      <c r="AU9" s="11"/>
      <c r="AV9" s="126"/>
      <c r="AW9" s="11"/>
      <c r="AX9" s="126"/>
      <c r="AY9" s="11"/>
      <c r="AZ9" s="126"/>
      <c r="BA9" s="11"/>
      <c r="BB9" s="127"/>
    </row>
    <row r="10" spans="1:54" x14ac:dyDescent="0.25">
      <c r="A10" s="4"/>
      <c r="B10" s="5"/>
      <c r="C10" s="5"/>
      <c r="D10" s="5"/>
      <c r="E10" s="5">
        <v>1</v>
      </c>
      <c r="F10" s="5">
        <v>0</v>
      </c>
      <c r="G10" s="5"/>
      <c r="H10" s="53" t="s">
        <v>59</v>
      </c>
      <c r="I10" s="344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9">
        <v>16768136.760000004</v>
      </c>
      <c r="AC10" s="9">
        <v>10725511</v>
      </c>
      <c r="AD10" s="9">
        <v>10725511</v>
      </c>
      <c r="AE10" s="9">
        <v>15393087</v>
      </c>
      <c r="AF10" s="222">
        <f>10054873.9+AG10+AR10</f>
        <v>14589962.52</v>
      </c>
      <c r="AG10" s="9">
        <f>+AS10</f>
        <v>2944440.59</v>
      </c>
      <c r="AH10" s="11">
        <v>845180.47</v>
      </c>
      <c r="AI10" s="11">
        <v>880428.96</v>
      </c>
      <c r="AJ10" s="11">
        <v>885433.94</v>
      </c>
      <c r="AK10" s="11">
        <v>790022.77</v>
      </c>
      <c r="AL10" s="11">
        <v>922954.03</v>
      </c>
      <c r="AM10" s="11">
        <v>577126.09</v>
      </c>
      <c r="AN10" s="11">
        <v>1767483.11</v>
      </c>
      <c r="AO10" s="11">
        <v>409400.54</v>
      </c>
      <c r="AP10" s="11">
        <v>236038.19</v>
      </c>
      <c r="AQ10" s="256">
        <v>1394058.64</v>
      </c>
      <c r="AR10" s="190">
        <v>1590648.03</v>
      </c>
      <c r="AS10" s="16">
        <v>2944440.59</v>
      </c>
      <c r="AT10" s="123"/>
      <c r="AU10" s="9">
        <v>70</v>
      </c>
      <c r="AV10" s="124">
        <v>8125759</v>
      </c>
      <c r="AW10" s="9">
        <v>66</v>
      </c>
      <c r="AX10" s="124">
        <v>8344643</v>
      </c>
      <c r="AY10" s="9">
        <v>63</v>
      </c>
      <c r="AZ10" s="124">
        <v>8420662</v>
      </c>
      <c r="BA10" s="9">
        <v>79</v>
      </c>
      <c r="BB10" s="125">
        <v>8450158</v>
      </c>
    </row>
    <row r="11" spans="1:54" x14ac:dyDescent="0.25">
      <c r="A11" s="4">
        <v>4</v>
      </c>
      <c r="B11" s="5"/>
      <c r="C11" s="5"/>
      <c r="D11" s="5"/>
      <c r="E11" s="6"/>
      <c r="F11" s="6"/>
      <c r="G11" s="5">
        <v>1</v>
      </c>
      <c r="H11" s="53" t="s">
        <v>60</v>
      </c>
      <c r="I11" s="340" t="s">
        <v>34</v>
      </c>
      <c r="J11" s="341">
        <f>J12</f>
        <v>144</v>
      </c>
      <c r="K11" s="341">
        <f>K12</f>
        <v>144</v>
      </c>
      <c r="L11" s="341">
        <f>L12</f>
        <v>144</v>
      </c>
      <c r="M11" s="341">
        <v>118</v>
      </c>
      <c r="N11" s="341">
        <f>SUM(P11:AA11)</f>
        <v>118</v>
      </c>
      <c r="O11" s="341">
        <f>+AA11</f>
        <v>5</v>
      </c>
      <c r="P11" s="341">
        <f t="shared" ref="P11:Z11" si="0">+P12</f>
        <v>0</v>
      </c>
      <c r="Q11" s="341">
        <f t="shared" si="0"/>
        <v>48</v>
      </c>
      <c r="R11" s="341">
        <f t="shared" si="0"/>
        <v>0</v>
      </c>
      <c r="S11" s="341">
        <f t="shared" si="0"/>
        <v>5</v>
      </c>
      <c r="T11" s="341">
        <f t="shared" si="0"/>
        <v>28</v>
      </c>
      <c r="U11" s="341">
        <f t="shared" si="0"/>
        <v>0</v>
      </c>
      <c r="V11" s="341">
        <f t="shared" si="0"/>
        <v>27</v>
      </c>
      <c r="W11" s="341">
        <f t="shared" si="0"/>
        <v>0</v>
      </c>
      <c r="X11" s="341">
        <f t="shared" si="0"/>
        <v>5</v>
      </c>
      <c r="Y11" s="341">
        <f t="shared" si="0"/>
        <v>0</v>
      </c>
      <c r="Z11" s="341">
        <f t="shared" si="0"/>
        <v>0</v>
      </c>
      <c r="AA11" s="341">
        <v>5</v>
      </c>
      <c r="AB11" s="9"/>
      <c r="AC11" s="9"/>
      <c r="AD11" s="9"/>
      <c r="AE11" s="9"/>
      <c r="AF11" s="222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255"/>
      <c r="AR11" s="160"/>
      <c r="AS11" s="10"/>
      <c r="AT11" s="123"/>
      <c r="AU11" s="11"/>
      <c r="AV11" s="126"/>
      <c r="AW11" s="11"/>
      <c r="AX11" s="126"/>
      <c r="AY11" s="11"/>
      <c r="AZ11" s="126"/>
      <c r="BA11" s="11"/>
      <c r="BB11" s="127"/>
    </row>
    <row r="12" spans="1:54" x14ac:dyDescent="0.25">
      <c r="A12" s="4"/>
      <c r="B12" s="5"/>
      <c r="C12" s="5"/>
      <c r="D12" s="5"/>
      <c r="E12" s="6"/>
      <c r="F12" s="6"/>
      <c r="G12" s="6">
        <v>2</v>
      </c>
      <c r="H12" s="110" t="s">
        <v>60</v>
      </c>
      <c r="I12" s="344" t="s">
        <v>34</v>
      </c>
      <c r="J12" s="345">
        <v>144</v>
      </c>
      <c r="K12" s="345">
        <v>144</v>
      </c>
      <c r="L12" s="345">
        <v>144</v>
      </c>
      <c r="M12" s="345">
        <v>118</v>
      </c>
      <c r="N12" s="341">
        <f>SUM(P12:AA12)</f>
        <v>118</v>
      </c>
      <c r="O12" s="341">
        <f>+AA12</f>
        <v>5</v>
      </c>
      <c r="P12" s="345">
        <v>0</v>
      </c>
      <c r="Q12" s="345">
        <v>48</v>
      </c>
      <c r="R12" s="345">
        <v>0</v>
      </c>
      <c r="S12" s="345">
        <v>5</v>
      </c>
      <c r="T12" s="345">
        <v>28</v>
      </c>
      <c r="U12" s="345">
        <v>0</v>
      </c>
      <c r="V12" s="345">
        <v>27</v>
      </c>
      <c r="W12" s="345">
        <v>0</v>
      </c>
      <c r="X12" s="345">
        <v>5</v>
      </c>
      <c r="Y12" s="345">
        <v>0</v>
      </c>
      <c r="Z12" s="345">
        <v>0</v>
      </c>
      <c r="AA12" s="345">
        <v>5</v>
      </c>
      <c r="AB12" s="9"/>
      <c r="AC12" s="9"/>
      <c r="AD12" s="9"/>
      <c r="AE12" s="9"/>
      <c r="AF12" s="222"/>
      <c r="AG12" s="9"/>
      <c r="AH12" s="9"/>
      <c r="AI12" s="9"/>
      <c r="AJ12" s="9"/>
      <c r="AK12" s="9"/>
      <c r="AL12" s="11"/>
      <c r="AM12" s="11"/>
      <c r="AN12" s="11"/>
      <c r="AO12" s="11"/>
      <c r="AP12" s="11"/>
      <c r="AQ12" s="256"/>
      <c r="AR12" s="190"/>
      <c r="AS12" s="16"/>
      <c r="AT12" s="123"/>
      <c r="AU12" s="11"/>
      <c r="AV12" s="126"/>
      <c r="AW12" s="11"/>
      <c r="AX12" s="126"/>
      <c r="AY12" s="11"/>
      <c r="AZ12" s="126"/>
      <c r="BA12" s="11"/>
      <c r="BB12" s="127"/>
    </row>
    <row r="13" spans="1:54" x14ac:dyDescent="0.25">
      <c r="A13" s="4"/>
      <c r="B13" s="5"/>
      <c r="C13" s="5"/>
      <c r="D13" s="5"/>
      <c r="E13" s="5">
        <v>2</v>
      </c>
      <c r="F13" s="5">
        <v>0</v>
      </c>
      <c r="G13" s="5"/>
      <c r="H13" s="53" t="s">
        <v>165</v>
      </c>
      <c r="I13" s="344"/>
      <c r="J13" s="345"/>
      <c r="K13" s="345"/>
      <c r="L13" s="345"/>
      <c r="M13" s="345"/>
      <c r="N13" s="345"/>
      <c r="O13" s="341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9">
        <v>2259862.08</v>
      </c>
      <c r="AC13" s="9">
        <v>1950925</v>
      </c>
      <c r="AD13" s="9">
        <v>1950925</v>
      </c>
      <c r="AE13" s="9">
        <v>1902025</v>
      </c>
      <c r="AF13" s="222">
        <f>1142303.49+AG13+AR13</f>
        <v>1385765.49</v>
      </c>
      <c r="AG13" s="9">
        <f>+AS13</f>
        <v>139540</v>
      </c>
      <c r="AH13" s="11">
        <v>129168.11</v>
      </c>
      <c r="AI13" s="11">
        <v>107715</v>
      </c>
      <c r="AJ13" s="11">
        <v>105967.2</v>
      </c>
      <c r="AK13" s="11">
        <v>102190</v>
      </c>
      <c r="AL13" s="11">
        <v>102190</v>
      </c>
      <c r="AM13" s="11">
        <v>130</v>
      </c>
      <c r="AN13" s="11">
        <v>4282.2</v>
      </c>
      <c r="AO13" s="11">
        <v>13767.5</v>
      </c>
      <c r="AP13" s="11">
        <v>2558.3000000000002</v>
      </c>
      <c r="AQ13" s="256">
        <v>104496.52</v>
      </c>
      <c r="AR13" s="190">
        <v>103922</v>
      </c>
      <c r="AS13" s="16">
        <v>139540</v>
      </c>
      <c r="AT13" s="123"/>
      <c r="AU13" s="9">
        <v>25</v>
      </c>
      <c r="AV13" s="124">
        <v>2246011.4300000002</v>
      </c>
      <c r="AW13" s="9">
        <v>20</v>
      </c>
      <c r="AX13" s="124">
        <v>2335025</v>
      </c>
      <c r="AY13" s="9">
        <v>20</v>
      </c>
      <c r="AZ13" s="124">
        <v>2435484.87</v>
      </c>
      <c r="BA13" s="9">
        <v>20</v>
      </c>
      <c r="BB13" s="125">
        <v>2567374.8699999996</v>
      </c>
    </row>
    <row r="14" spans="1:54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3" t="s">
        <v>166</v>
      </c>
      <c r="I14" s="340" t="s">
        <v>64</v>
      </c>
      <c r="J14" s="341">
        <f t="shared" ref="J14:Z14" si="1">+J15+J16+J17</f>
        <v>23</v>
      </c>
      <c r="K14" s="341">
        <f t="shared" si="1"/>
        <v>23</v>
      </c>
      <c r="L14" s="341">
        <f t="shared" si="1"/>
        <v>23</v>
      </c>
      <c r="M14" s="341">
        <v>55</v>
      </c>
      <c r="N14" s="341">
        <f>SUM(P14:AA14)</f>
        <v>53</v>
      </c>
      <c r="O14" s="341">
        <f>+AA14</f>
        <v>2</v>
      </c>
      <c r="P14" s="341">
        <f t="shared" si="1"/>
        <v>0</v>
      </c>
      <c r="Q14" s="341">
        <f t="shared" si="1"/>
        <v>0</v>
      </c>
      <c r="R14" s="341">
        <f t="shared" si="1"/>
        <v>1</v>
      </c>
      <c r="S14" s="341">
        <f t="shared" si="1"/>
        <v>2</v>
      </c>
      <c r="T14" s="341">
        <f t="shared" si="1"/>
        <v>15</v>
      </c>
      <c r="U14" s="341">
        <f t="shared" si="1"/>
        <v>0</v>
      </c>
      <c r="V14" s="341">
        <f t="shared" si="1"/>
        <v>0</v>
      </c>
      <c r="W14" s="341">
        <f t="shared" si="1"/>
        <v>3</v>
      </c>
      <c r="X14" s="341">
        <v>30</v>
      </c>
      <c r="Y14" s="341">
        <v>0</v>
      </c>
      <c r="Z14" s="341">
        <f t="shared" si="1"/>
        <v>0</v>
      </c>
      <c r="AA14" s="341">
        <v>2</v>
      </c>
      <c r="AB14" s="9"/>
      <c r="AC14" s="9"/>
      <c r="AD14" s="9"/>
      <c r="AE14" s="9"/>
      <c r="AF14" s="222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255"/>
      <c r="AR14" s="160"/>
      <c r="AS14" s="10"/>
      <c r="AT14" s="123"/>
      <c r="AU14" s="11"/>
      <c r="AV14" s="126"/>
      <c r="AW14" s="11"/>
      <c r="AX14" s="126"/>
      <c r="AY14" s="11"/>
      <c r="AZ14" s="126"/>
      <c r="BA14" s="11"/>
      <c r="BB14" s="127"/>
    </row>
    <row r="15" spans="1:54" ht="27" x14ac:dyDescent="0.25">
      <c r="A15" s="4"/>
      <c r="B15" s="5"/>
      <c r="C15" s="5"/>
      <c r="D15" s="5"/>
      <c r="E15" s="6"/>
      <c r="F15" s="6"/>
      <c r="G15" s="6">
        <v>2</v>
      </c>
      <c r="H15" s="110" t="s">
        <v>167</v>
      </c>
      <c r="I15" s="344" t="s">
        <v>64</v>
      </c>
      <c r="J15" s="345">
        <v>15</v>
      </c>
      <c r="K15" s="345">
        <v>15</v>
      </c>
      <c r="L15" s="345">
        <v>15</v>
      </c>
      <c r="M15" s="345">
        <v>47</v>
      </c>
      <c r="N15" s="345">
        <v>47</v>
      </c>
      <c r="O15" s="341">
        <f>+AA15</f>
        <v>0</v>
      </c>
      <c r="P15" s="345">
        <v>0</v>
      </c>
      <c r="Q15" s="345">
        <v>0</v>
      </c>
      <c r="R15" s="345">
        <v>1</v>
      </c>
      <c r="S15" s="345">
        <v>2</v>
      </c>
      <c r="T15" s="345">
        <v>12</v>
      </c>
      <c r="U15" s="345">
        <v>0</v>
      </c>
      <c r="V15" s="345">
        <v>0</v>
      </c>
      <c r="W15" s="345">
        <v>0</v>
      </c>
      <c r="X15" s="345">
        <v>2</v>
      </c>
      <c r="Y15" s="345">
        <v>0</v>
      </c>
      <c r="Z15" s="345">
        <v>0</v>
      </c>
      <c r="AA15" s="345">
        <v>0</v>
      </c>
      <c r="AB15" s="9"/>
      <c r="AC15" s="9"/>
      <c r="AD15" s="9"/>
      <c r="AE15" s="9"/>
      <c r="AF15" s="222"/>
      <c r="AG15" s="9"/>
      <c r="AH15" s="9"/>
      <c r="AI15" s="9"/>
      <c r="AJ15" s="9"/>
      <c r="AK15" s="9"/>
      <c r="AL15" s="11"/>
      <c r="AM15" s="11"/>
      <c r="AN15" s="11"/>
      <c r="AO15" s="11"/>
      <c r="AP15" s="11"/>
      <c r="AQ15" s="256"/>
      <c r="AR15" s="190"/>
      <c r="AS15" s="16"/>
      <c r="AT15" s="123"/>
      <c r="AU15" s="11"/>
      <c r="AV15" s="126"/>
      <c r="AW15" s="11"/>
      <c r="AX15" s="126"/>
      <c r="AY15" s="11"/>
      <c r="AZ15" s="126"/>
      <c r="BA15" s="11"/>
      <c r="BB15" s="127"/>
    </row>
    <row r="16" spans="1:54" x14ac:dyDescent="0.25">
      <c r="A16" s="4"/>
      <c r="B16" s="5"/>
      <c r="C16" s="5"/>
      <c r="D16" s="5"/>
      <c r="E16" s="6"/>
      <c r="F16" s="6"/>
      <c r="G16" s="6">
        <v>3</v>
      </c>
      <c r="H16" s="110" t="s">
        <v>168</v>
      </c>
      <c r="I16" s="344" t="s">
        <v>64</v>
      </c>
      <c r="J16" s="345">
        <v>4</v>
      </c>
      <c r="K16" s="345">
        <v>4</v>
      </c>
      <c r="L16" s="345">
        <v>4</v>
      </c>
      <c r="M16" s="345">
        <v>4</v>
      </c>
      <c r="N16" s="345">
        <f>+SUM(P16:AA16)</f>
        <v>4</v>
      </c>
      <c r="O16" s="341">
        <f>+AA16</f>
        <v>0</v>
      </c>
      <c r="P16" s="345">
        <v>0</v>
      </c>
      <c r="Q16" s="345">
        <v>0</v>
      </c>
      <c r="R16" s="345">
        <v>0</v>
      </c>
      <c r="S16" s="345">
        <v>0</v>
      </c>
      <c r="T16" s="345">
        <v>3</v>
      </c>
      <c r="U16" s="345">
        <v>0</v>
      </c>
      <c r="V16" s="345">
        <v>0</v>
      </c>
      <c r="W16" s="345">
        <v>1</v>
      </c>
      <c r="X16" s="345">
        <v>0</v>
      </c>
      <c r="Y16" s="345">
        <v>0</v>
      </c>
      <c r="Z16" s="345">
        <v>0</v>
      </c>
      <c r="AA16" s="345">
        <v>0</v>
      </c>
      <c r="AB16" s="9"/>
      <c r="AC16" s="9"/>
      <c r="AD16" s="9"/>
      <c r="AE16" s="9"/>
      <c r="AF16" s="222"/>
      <c r="AG16" s="9"/>
      <c r="AH16" s="9"/>
      <c r="AI16" s="9"/>
      <c r="AJ16" s="9"/>
      <c r="AK16" s="9"/>
      <c r="AL16" s="11"/>
      <c r="AM16" s="11"/>
      <c r="AN16" s="11"/>
      <c r="AO16" s="11"/>
      <c r="AP16" s="11"/>
      <c r="AQ16" s="256"/>
      <c r="AR16" s="190"/>
      <c r="AS16" s="16"/>
      <c r="AT16" s="123"/>
      <c r="AU16" s="11"/>
      <c r="AV16" s="126"/>
      <c r="AW16" s="11"/>
      <c r="AX16" s="126"/>
      <c r="AY16" s="11"/>
      <c r="AZ16" s="126"/>
      <c r="BA16" s="11"/>
      <c r="BB16" s="127"/>
    </row>
    <row r="17" spans="1:54" x14ac:dyDescent="0.25">
      <c r="A17" s="4"/>
      <c r="B17" s="5"/>
      <c r="C17" s="5"/>
      <c r="D17" s="5"/>
      <c r="E17" s="6"/>
      <c r="F17" s="6"/>
      <c r="G17" s="6">
        <v>4</v>
      </c>
      <c r="H17" s="110" t="s">
        <v>169</v>
      </c>
      <c r="I17" s="344" t="s">
        <v>64</v>
      </c>
      <c r="J17" s="345">
        <v>4</v>
      </c>
      <c r="K17" s="345">
        <v>4</v>
      </c>
      <c r="L17" s="345">
        <v>4</v>
      </c>
      <c r="M17" s="345">
        <v>4</v>
      </c>
      <c r="N17" s="345">
        <f>+SUM(P17:AA17)</f>
        <v>2</v>
      </c>
      <c r="O17" s="341">
        <f>+AA17</f>
        <v>0</v>
      </c>
      <c r="P17" s="345">
        <v>0</v>
      </c>
      <c r="Q17" s="345">
        <v>0</v>
      </c>
      <c r="R17" s="345">
        <v>0</v>
      </c>
      <c r="S17" s="345">
        <v>0</v>
      </c>
      <c r="T17" s="345">
        <v>0</v>
      </c>
      <c r="U17" s="345">
        <v>0</v>
      </c>
      <c r="V17" s="345">
        <v>0</v>
      </c>
      <c r="W17" s="345">
        <v>2</v>
      </c>
      <c r="X17" s="345">
        <v>0</v>
      </c>
      <c r="Y17" s="345">
        <v>0</v>
      </c>
      <c r="Z17" s="345">
        <v>0</v>
      </c>
      <c r="AA17" s="345">
        <v>0</v>
      </c>
      <c r="AB17" s="9"/>
      <c r="AC17" s="9"/>
      <c r="AD17" s="9"/>
      <c r="AE17" s="9"/>
      <c r="AF17" s="222"/>
      <c r="AG17" s="9"/>
      <c r="AH17" s="9"/>
      <c r="AI17" s="9"/>
      <c r="AJ17" s="9"/>
      <c r="AK17" s="9"/>
      <c r="AL17" s="11"/>
      <c r="AM17" s="11"/>
      <c r="AN17" s="11"/>
      <c r="AO17" s="11"/>
      <c r="AP17" s="11"/>
      <c r="AQ17" s="256"/>
      <c r="AR17" s="190"/>
      <c r="AS17" s="16"/>
      <c r="AT17" s="123"/>
      <c r="AU17" s="11"/>
      <c r="AV17" s="126"/>
      <c r="AW17" s="11"/>
      <c r="AX17" s="126"/>
      <c r="AY17" s="11"/>
      <c r="AZ17" s="126"/>
      <c r="BA17" s="11"/>
      <c r="BB17" s="127"/>
    </row>
    <row r="18" spans="1:54" x14ac:dyDescent="0.25">
      <c r="A18" s="4"/>
      <c r="B18" s="5"/>
      <c r="C18" s="5"/>
      <c r="D18" s="5"/>
      <c r="E18" s="6"/>
      <c r="F18" s="6"/>
      <c r="G18" s="6">
        <v>5</v>
      </c>
      <c r="H18" s="110" t="s">
        <v>170</v>
      </c>
      <c r="I18" s="344" t="s">
        <v>34</v>
      </c>
      <c r="J18" s="345">
        <v>175</v>
      </c>
      <c r="K18" s="345">
        <v>175</v>
      </c>
      <c r="L18" s="345">
        <v>175</v>
      </c>
      <c r="M18" s="345">
        <v>175</v>
      </c>
      <c r="N18" s="345">
        <f>+SUM(P18:AA18)</f>
        <v>146</v>
      </c>
      <c r="O18" s="341">
        <f>+AA18</f>
        <v>35</v>
      </c>
      <c r="P18" s="345">
        <v>0</v>
      </c>
      <c r="Q18" s="345">
        <v>10</v>
      </c>
      <c r="R18" s="345">
        <v>6</v>
      </c>
      <c r="S18" s="345">
        <v>15</v>
      </c>
      <c r="T18" s="345">
        <v>12</v>
      </c>
      <c r="U18" s="345">
        <v>16</v>
      </c>
      <c r="V18" s="345">
        <v>13</v>
      </c>
      <c r="W18" s="345">
        <v>4</v>
      </c>
      <c r="X18" s="345">
        <v>10</v>
      </c>
      <c r="Y18" s="345">
        <v>10</v>
      </c>
      <c r="Z18" s="345">
        <v>15</v>
      </c>
      <c r="AA18" s="345">
        <v>35</v>
      </c>
      <c r="AB18" s="9"/>
      <c r="AC18" s="9"/>
      <c r="AD18" s="9"/>
      <c r="AE18" s="9"/>
      <c r="AF18" s="222"/>
      <c r="AG18" s="9"/>
      <c r="AH18" s="9"/>
      <c r="AI18" s="9"/>
      <c r="AJ18" s="9"/>
      <c r="AK18" s="9"/>
      <c r="AL18" s="11"/>
      <c r="AM18" s="11"/>
      <c r="AN18" s="11"/>
      <c r="AO18" s="11"/>
      <c r="AP18" s="11"/>
      <c r="AQ18" s="256"/>
      <c r="AR18" s="190"/>
      <c r="AS18" s="16"/>
      <c r="AT18" s="123"/>
      <c r="AU18" s="11"/>
      <c r="AV18" s="126"/>
      <c r="AW18" s="11"/>
      <c r="AX18" s="126"/>
      <c r="AY18" s="11"/>
      <c r="AZ18" s="126"/>
      <c r="BA18" s="11"/>
      <c r="BB18" s="127"/>
    </row>
    <row r="19" spans="1:54" x14ac:dyDescent="0.25">
      <c r="A19" s="4"/>
      <c r="B19" s="6"/>
      <c r="C19" s="6"/>
      <c r="D19" s="6"/>
      <c r="E19" s="5">
        <v>3</v>
      </c>
      <c r="F19" s="5">
        <v>0</v>
      </c>
      <c r="G19" s="5"/>
      <c r="H19" s="53" t="s">
        <v>171</v>
      </c>
      <c r="I19" s="344"/>
      <c r="J19" s="345"/>
      <c r="K19" s="345"/>
      <c r="L19" s="345"/>
      <c r="M19" s="345"/>
      <c r="N19" s="345"/>
      <c r="O19" s="341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9">
        <v>2174426.16</v>
      </c>
      <c r="AC19" s="9">
        <v>1928564</v>
      </c>
      <c r="AD19" s="9">
        <v>1928564</v>
      </c>
      <c r="AE19" s="9">
        <v>1928564</v>
      </c>
      <c r="AF19" s="222">
        <f>1568582.61+AG19</f>
        <v>1901297.11</v>
      </c>
      <c r="AG19" s="9">
        <f>+AS19+AR19</f>
        <v>332714.5</v>
      </c>
      <c r="AH19" s="11">
        <v>182459.16</v>
      </c>
      <c r="AI19" s="11">
        <v>143101.79999999999</v>
      </c>
      <c r="AJ19" s="11">
        <v>143748.25</v>
      </c>
      <c r="AK19" s="11">
        <v>144101.79999999999</v>
      </c>
      <c r="AL19" s="11">
        <v>145095.79999999999</v>
      </c>
      <c r="AM19" s="11">
        <v>0</v>
      </c>
      <c r="AN19" s="11">
        <v>1640.45</v>
      </c>
      <c r="AO19" s="11">
        <v>3430</v>
      </c>
      <c r="AP19" s="11">
        <v>0</v>
      </c>
      <c r="AQ19" s="256">
        <v>144336.79999999999</v>
      </c>
      <c r="AR19" s="190">
        <v>144101.79999999999</v>
      </c>
      <c r="AS19" s="16">
        <v>188612.7</v>
      </c>
      <c r="AT19" s="123"/>
      <c r="AU19" s="9">
        <v>5359</v>
      </c>
      <c r="AV19" s="124">
        <v>1154441.52</v>
      </c>
      <c r="AW19" s="9">
        <v>5361</v>
      </c>
      <c r="AX19" s="124">
        <v>1178242.08</v>
      </c>
      <c r="AY19" s="9">
        <v>5362</v>
      </c>
      <c r="AZ19" s="124">
        <v>1283333.76</v>
      </c>
      <c r="BA19" s="9">
        <v>5363</v>
      </c>
      <c r="BB19" s="125">
        <v>1356837.23</v>
      </c>
    </row>
    <row r="20" spans="1:54" x14ac:dyDescent="0.25">
      <c r="A20" s="4">
        <v>4</v>
      </c>
      <c r="B20" s="6"/>
      <c r="C20" s="6"/>
      <c r="D20" s="6"/>
      <c r="E20" s="6"/>
      <c r="F20" s="6"/>
      <c r="G20" s="5">
        <v>1</v>
      </c>
      <c r="H20" s="53" t="s">
        <v>172</v>
      </c>
      <c r="I20" s="237" t="s">
        <v>64</v>
      </c>
      <c r="J20" s="9">
        <f t="shared" ref="J20:W20" si="2">+J22+J23+J24</f>
        <v>5231</v>
      </c>
      <c r="K20" s="9">
        <f t="shared" si="2"/>
        <v>5231</v>
      </c>
      <c r="L20" s="9">
        <f t="shared" si="2"/>
        <v>5231</v>
      </c>
      <c r="M20" s="9">
        <f>+M22+M23+M24</f>
        <v>5231</v>
      </c>
      <c r="N20" s="9">
        <f>SUM(P20:AA20)</f>
        <v>5216</v>
      </c>
      <c r="O20" s="9">
        <f>+AA20</f>
        <v>207</v>
      </c>
      <c r="P20" s="9">
        <f t="shared" si="2"/>
        <v>0</v>
      </c>
      <c r="Q20" s="9">
        <f t="shared" si="2"/>
        <v>894</v>
      </c>
      <c r="R20" s="9">
        <f t="shared" si="2"/>
        <v>364</v>
      </c>
      <c r="S20" s="9">
        <f t="shared" si="2"/>
        <v>419</v>
      </c>
      <c r="T20" s="9">
        <f t="shared" si="2"/>
        <v>644</v>
      </c>
      <c r="U20" s="9">
        <v>431</v>
      </c>
      <c r="V20" s="9">
        <v>501</v>
      </c>
      <c r="W20" s="9">
        <f t="shared" si="2"/>
        <v>381</v>
      </c>
      <c r="X20" s="9">
        <v>420</v>
      </c>
      <c r="Y20" s="9">
        <v>575</v>
      </c>
      <c r="Z20" s="9">
        <v>380</v>
      </c>
      <c r="AA20" s="9">
        <v>207</v>
      </c>
      <c r="AB20" s="9"/>
      <c r="AC20" s="9"/>
      <c r="AD20" s="9"/>
      <c r="AE20" s="9"/>
      <c r="AF20" s="222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255"/>
      <c r="AR20" s="160"/>
      <c r="AS20" s="10"/>
      <c r="AT20" s="123"/>
      <c r="AU20" s="11"/>
      <c r="AV20" s="126"/>
      <c r="AW20" s="11"/>
      <c r="AX20" s="126"/>
      <c r="AY20" s="11"/>
      <c r="AZ20" s="126"/>
      <c r="BA20" s="11"/>
      <c r="BB20" s="127"/>
    </row>
    <row r="21" spans="1:54" x14ac:dyDescent="0.25">
      <c r="A21" s="4"/>
      <c r="B21" s="6"/>
      <c r="C21" s="6"/>
      <c r="D21" s="6"/>
      <c r="E21" s="6"/>
      <c r="F21" s="6"/>
      <c r="G21" s="6">
        <v>2</v>
      </c>
      <c r="H21" s="110" t="s">
        <v>173</v>
      </c>
      <c r="I21" s="199" t="s">
        <v>174</v>
      </c>
      <c r="J21" s="11">
        <v>196</v>
      </c>
      <c r="K21" s="11">
        <v>196</v>
      </c>
      <c r="L21" s="11">
        <v>196</v>
      </c>
      <c r="M21" s="11">
        <v>196</v>
      </c>
      <c r="N21" s="11">
        <f>SUM(P21:AA21)</f>
        <v>196</v>
      </c>
      <c r="O21" s="9">
        <f>+AA21</f>
        <v>11</v>
      </c>
      <c r="P21" s="11">
        <v>0</v>
      </c>
      <c r="Q21" s="11">
        <v>29</v>
      </c>
      <c r="R21" s="11">
        <v>14</v>
      </c>
      <c r="S21" s="11">
        <v>21</v>
      </c>
      <c r="T21" s="11">
        <v>82</v>
      </c>
      <c r="U21" s="11">
        <v>5</v>
      </c>
      <c r="V21" s="11">
        <v>3</v>
      </c>
      <c r="W21" s="11">
        <v>8</v>
      </c>
      <c r="X21" s="11">
        <v>17</v>
      </c>
      <c r="Y21" s="11">
        <v>3</v>
      </c>
      <c r="Z21" s="11">
        <v>3</v>
      </c>
      <c r="AA21" s="11">
        <v>11</v>
      </c>
      <c r="AB21" s="9"/>
      <c r="AC21" s="9"/>
      <c r="AD21" s="9"/>
      <c r="AE21" s="9"/>
      <c r="AF21" s="222"/>
      <c r="AG21" s="9"/>
      <c r="AH21" s="9"/>
      <c r="AI21" s="11"/>
      <c r="AJ21" s="9"/>
      <c r="AK21" s="11"/>
      <c r="AL21" s="11"/>
      <c r="AM21" s="11"/>
      <c r="AN21" s="11"/>
      <c r="AO21" s="11"/>
      <c r="AP21" s="11"/>
      <c r="AQ21" s="256"/>
      <c r="AR21" s="190"/>
      <c r="AS21" s="16"/>
      <c r="AT21" s="123"/>
      <c r="AU21" s="11"/>
      <c r="AV21" s="126"/>
      <c r="AW21" s="11"/>
      <c r="AX21" s="126"/>
      <c r="AY21" s="11"/>
      <c r="AZ21" s="126"/>
      <c r="BA21" s="11"/>
      <c r="BB21" s="127"/>
    </row>
    <row r="22" spans="1:54" ht="27" x14ac:dyDescent="0.25">
      <c r="A22" s="4"/>
      <c r="B22" s="6"/>
      <c r="C22" s="6"/>
      <c r="D22" s="6"/>
      <c r="E22" s="6"/>
      <c r="F22" s="6"/>
      <c r="G22" s="6">
        <v>3</v>
      </c>
      <c r="H22" s="110" t="s">
        <v>175</v>
      </c>
      <c r="I22" s="199" t="s">
        <v>64</v>
      </c>
      <c r="J22" s="11">
        <v>94</v>
      </c>
      <c r="K22" s="11">
        <v>94</v>
      </c>
      <c r="L22" s="11">
        <v>94</v>
      </c>
      <c r="M22" s="11">
        <v>94</v>
      </c>
      <c r="N22" s="11">
        <f>SUM(P22:AA22)</f>
        <v>94</v>
      </c>
      <c r="O22" s="9">
        <f>+AA22</f>
        <v>2</v>
      </c>
      <c r="P22" s="11">
        <v>0</v>
      </c>
      <c r="Q22" s="11">
        <v>9</v>
      </c>
      <c r="R22" s="11">
        <v>4</v>
      </c>
      <c r="S22" s="11">
        <v>8</v>
      </c>
      <c r="T22" s="11">
        <v>44</v>
      </c>
      <c r="U22" s="11">
        <v>11</v>
      </c>
      <c r="V22" s="11">
        <v>11</v>
      </c>
      <c r="W22" s="11">
        <v>5</v>
      </c>
      <c r="X22" s="11">
        <v>0</v>
      </c>
      <c r="Y22" s="11">
        <v>0</v>
      </c>
      <c r="Z22" s="11">
        <v>0</v>
      </c>
      <c r="AA22" s="11">
        <v>2</v>
      </c>
      <c r="AB22" s="11"/>
      <c r="AC22" s="11"/>
      <c r="AD22" s="11"/>
      <c r="AE22" s="11"/>
      <c r="AF22" s="221"/>
      <c r="AG22" s="9"/>
      <c r="AH22" s="11"/>
      <c r="AI22" s="11"/>
      <c r="AJ22" s="11"/>
      <c r="AK22" s="11"/>
      <c r="AL22" s="11"/>
      <c r="AM22" s="11"/>
      <c r="AN22" s="11"/>
      <c r="AO22" s="11"/>
      <c r="AP22" s="11"/>
      <c r="AQ22" s="256"/>
      <c r="AR22" s="190"/>
      <c r="AS22" s="16"/>
      <c r="AT22" s="123"/>
      <c r="AU22" s="11"/>
      <c r="AV22" s="126"/>
      <c r="AW22" s="11"/>
      <c r="AX22" s="126"/>
      <c r="AY22" s="11"/>
      <c r="AZ22" s="126"/>
      <c r="BA22" s="11"/>
      <c r="BB22" s="127"/>
    </row>
    <row r="23" spans="1:54" ht="27" x14ac:dyDescent="0.25">
      <c r="A23" s="4"/>
      <c r="B23" s="6"/>
      <c r="C23" s="6"/>
      <c r="D23" s="6"/>
      <c r="E23" s="6"/>
      <c r="F23" s="6"/>
      <c r="G23" s="6">
        <v>4</v>
      </c>
      <c r="H23" s="110" t="s">
        <v>176</v>
      </c>
      <c r="I23" s="199" t="s">
        <v>64</v>
      </c>
      <c r="J23" s="11">
        <v>32</v>
      </c>
      <c r="K23" s="11">
        <v>32</v>
      </c>
      <c r="L23" s="11">
        <v>32</v>
      </c>
      <c r="M23" s="11">
        <v>32</v>
      </c>
      <c r="N23" s="11">
        <f>SUM(P23:AA23)</f>
        <v>17</v>
      </c>
      <c r="O23" s="9">
        <f>+AA23</f>
        <v>5</v>
      </c>
      <c r="P23" s="11">
        <v>0</v>
      </c>
      <c r="Q23" s="11">
        <v>0</v>
      </c>
      <c r="R23" s="11">
        <v>0</v>
      </c>
      <c r="S23" s="11">
        <v>1</v>
      </c>
      <c r="T23" s="11">
        <v>10</v>
      </c>
      <c r="U23" s="11">
        <v>0</v>
      </c>
      <c r="V23" s="11">
        <v>0</v>
      </c>
      <c r="W23" s="11">
        <v>1</v>
      </c>
      <c r="X23" s="11">
        <v>0</v>
      </c>
      <c r="Y23" s="11">
        <v>0</v>
      </c>
      <c r="Z23" s="11">
        <v>0</v>
      </c>
      <c r="AA23" s="11">
        <v>5</v>
      </c>
      <c r="AB23" s="11"/>
      <c r="AC23" s="11"/>
      <c r="AD23" s="11"/>
      <c r="AE23" s="11"/>
      <c r="AF23" s="221"/>
      <c r="AG23" s="9"/>
      <c r="AH23" s="11"/>
      <c r="AI23" s="11"/>
      <c r="AJ23" s="11"/>
      <c r="AK23" s="11"/>
      <c r="AL23" s="11"/>
      <c r="AM23" s="11"/>
      <c r="AN23" s="11"/>
      <c r="AO23" s="11"/>
      <c r="AP23" s="11"/>
      <c r="AQ23" s="256"/>
      <c r="AR23" s="190"/>
      <c r="AS23" s="16"/>
      <c r="AT23" s="123"/>
      <c r="AU23" s="11"/>
      <c r="AV23" s="126"/>
      <c r="AW23" s="11"/>
      <c r="AX23" s="126"/>
      <c r="AY23" s="11"/>
      <c r="AZ23" s="126"/>
      <c r="BA23" s="11"/>
      <c r="BB23" s="127"/>
    </row>
    <row r="24" spans="1:54" ht="27" x14ac:dyDescent="0.25">
      <c r="A24" s="4"/>
      <c r="B24" s="6"/>
      <c r="C24" s="6"/>
      <c r="D24" s="6"/>
      <c r="E24" s="6"/>
      <c r="F24" s="6"/>
      <c r="G24" s="6">
        <v>5</v>
      </c>
      <c r="H24" s="110" t="s">
        <v>177</v>
      </c>
      <c r="I24" s="199" t="s">
        <v>64</v>
      </c>
      <c r="J24" s="11">
        <v>5105</v>
      </c>
      <c r="K24" s="11">
        <v>5105</v>
      </c>
      <c r="L24" s="11">
        <v>5105</v>
      </c>
      <c r="M24" s="11">
        <v>5105</v>
      </c>
      <c r="N24" s="11">
        <f>SUM(P24:AA24)</f>
        <v>5105</v>
      </c>
      <c r="O24" s="9">
        <f>+AA24</f>
        <v>200</v>
      </c>
      <c r="P24" s="11">
        <v>0</v>
      </c>
      <c r="Q24" s="11">
        <v>885</v>
      </c>
      <c r="R24" s="11">
        <v>360</v>
      </c>
      <c r="S24" s="11">
        <v>410</v>
      </c>
      <c r="T24" s="11">
        <v>590</v>
      </c>
      <c r="U24" s="11">
        <v>420</v>
      </c>
      <c r="V24" s="11">
        <v>490</v>
      </c>
      <c r="W24" s="11">
        <v>375</v>
      </c>
      <c r="X24" s="11">
        <v>420</v>
      </c>
      <c r="Y24" s="11">
        <v>575</v>
      </c>
      <c r="Z24" s="11">
        <v>380</v>
      </c>
      <c r="AA24" s="11">
        <v>200</v>
      </c>
      <c r="AB24" s="11"/>
      <c r="AC24" s="11"/>
      <c r="AD24" s="11"/>
      <c r="AE24" s="11"/>
      <c r="AF24" s="22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256"/>
      <c r="AR24" s="190"/>
      <c r="AS24" s="16"/>
      <c r="AT24" s="123"/>
      <c r="AU24" s="11"/>
      <c r="AV24" s="126"/>
      <c r="AW24" s="11"/>
      <c r="AX24" s="126"/>
      <c r="AY24" s="11"/>
      <c r="AZ24" s="126"/>
      <c r="BA24" s="11"/>
      <c r="BB24" s="127"/>
    </row>
    <row r="25" spans="1:54" ht="30" x14ac:dyDescent="0.25">
      <c r="A25" s="59"/>
      <c r="B25" s="5">
        <v>99</v>
      </c>
      <c r="C25" s="5"/>
      <c r="D25" s="5"/>
      <c r="E25" s="5"/>
      <c r="F25" s="5"/>
      <c r="G25" s="6"/>
      <c r="H25" s="53" t="s">
        <v>112</v>
      </c>
      <c r="I25" s="6"/>
      <c r="J25" s="11"/>
      <c r="K25" s="11"/>
      <c r="L25" s="11"/>
      <c r="M25" s="11"/>
      <c r="N25" s="11"/>
      <c r="O25" s="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22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256"/>
      <c r="AR25" s="190"/>
      <c r="AS25" s="16"/>
      <c r="AT25" s="123"/>
      <c r="AU25" s="11"/>
      <c r="AV25" s="126"/>
      <c r="AW25" s="11"/>
      <c r="AX25" s="126"/>
      <c r="AY25" s="11"/>
      <c r="AZ25" s="126"/>
      <c r="BA25" s="11"/>
      <c r="BB25" s="127"/>
    </row>
    <row r="26" spans="1:54" x14ac:dyDescent="0.25">
      <c r="A26" s="59"/>
      <c r="B26" s="5"/>
      <c r="C26" s="5">
        <v>0</v>
      </c>
      <c r="D26" s="5"/>
      <c r="E26" s="5"/>
      <c r="F26" s="5"/>
      <c r="G26" s="6"/>
      <c r="H26" s="53" t="s">
        <v>30</v>
      </c>
      <c r="I26" s="6"/>
      <c r="J26" s="11"/>
      <c r="K26" s="11"/>
      <c r="L26" s="11"/>
      <c r="M26" s="11"/>
      <c r="N26" s="11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22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256"/>
      <c r="AR26" s="190"/>
      <c r="AS26" s="16"/>
      <c r="AT26" s="123"/>
      <c r="AU26" s="11"/>
      <c r="AV26" s="126"/>
      <c r="AW26" s="11"/>
      <c r="AX26" s="126"/>
      <c r="AY26" s="11"/>
      <c r="AZ26" s="126"/>
      <c r="BA26" s="11"/>
      <c r="BB26" s="127"/>
    </row>
    <row r="27" spans="1:54" x14ac:dyDescent="0.25">
      <c r="A27" s="59"/>
      <c r="B27" s="5"/>
      <c r="C27" s="5"/>
      <c r="D27" s="5">
        <v>0</v>
      </c>
      <c r="E27" s="5"/>
      <c r="F27" s="5"/>
      <c r="G27" s="6"/>
      <c r="H27" s="53" t="s">
        <v>31</v>
      </c>
      <c r="I27" s="6"/>
      <c r="J27" s="11"/>
      <c r="K27" s="11"/>
      <c r="L27" s="11"/>
      <c r="M27" s="11"/>
      <c r="N27" s="11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22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256"/>
      <c r="AR27" s="190"/>
      <c r="AS27" s="16"/>
      <c r="AT27" s="123"/>
      <c r="AU27" s="11"/>
      <c r="AV27" s="126"/>
      <c r="AW27" s="11"/>
      <c r="AX27" s="126"/>
      <c r="AY27" s="11"/>
      <c r="AZ27" s="126"/>
      <c r="BA27" s="11"/>
      <c r="BB27" s="127"/>
    </row>
    <row r="28" spans="1:54" ht="30" x14ac:dyDescent="0.25">
      <c r="A28" s="59"/>
      <c r="B28" s="5"/>
      <c r="C28" s="5"/>
      <c r="D28" s="5"/>
      <c r="E28" s="5">
        <v>2</v>
      </c>
      <c r="F28" s="5">
        <v>0</v>
      </c>
      <c r="G28" s="6"/>
      <c r="H28" s="53" t="s">
        <v>44</v>
      </c>
      <c r="I28" s="6"/>
      <c r="J28" s="11"/>
      <c r="K28" s="11"/>
      <c r="L28" s="11"/>
      <c r="M28" s="11"/>
      <c r="N28" s="11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9">
        <v>975000</v>
      </c>
      <c r="AC28" s="9">
        <v>900000</v>
      </c>
      <c r="AD28" s="9">
        <v>900000</v>
      </c>
      <c r="AE28" s="9">
        <v>900000</v>
      </c>
      <c r="AF28" s="222">
        <f>+SUM(AH28:AS28)</f>
        <v>899210.62</v>
      </c>
      <c r="AG28" s="9">
        <f>+AR28</f>
        <v>0</v>
      </c>
      <c r="AH28" s="11">
        <v>0</v>
      </c>
      <c r="AI28" s="11">
        <v>0</v>
      </c>
      <c r="AJ28" s="11">
        <v>899210.62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256">
        <v>0</v>
      </c>
      <c r="AR28" s="190">
        <v>0</v>
      </c>
      <c r="AS28" s="16">
        <v>0</v>
      </c>
      <c r="AT28" s="123"/>
      <c r="AU28" s="9">
        <v>2</v>
      </c>
      <c r="AV28" s="124">
        <v>1300000</v>
      </c>
      <c r="AW28" s="9">
        <v>2</v>
      </c>
      <c r="AX28" s="124">
        <v>1300000</v>
      </c>
      <c r="AY28" s="9">
        <v>2</v>
      </c>
      <c r="AZ28" s="124">
        <v>1300000</v>
      </c>
      <c r="BA28" s="9">
        <v>2</v>
      </c>
      <c r="BB28" s="125">
        <v>1300000</v>
      </c>
    </row>
    <row r="29" spans="1:54" ht="30" x14ac:dyDescent="0.25">
      <c r="A29" s="59"/>
      <c r="B29" s="5"/>
      <c r="C29" s="5"/>
      <c r="D29" s="5"/>
      <c r="E29" s="5"/>
      <c r="F29" s="5"/>
      <c r="G29" s="6"/>
      <c r="H29" s="53" t="s">
        <v>45</v>
      </c>
      <c r="I29" s="5" t="s">
        <v>43</v>
      </c>
      <c r="J29" s="9">
        <f>J30</f>
        <v>2</v>
      </c>
      <c r="K29" s="9">
        <f>K30</f>
        <v>2</v>
      </c>
      <c r="L29" s="9">
        <f>L30</f>
        <v>2</v>
      </c>
      <c r="M29" s="9">
        <f>M30</f>
        <v>2</v>
      </c>
      <c r="N29" s="9">
        <f>SUM(P29:AA29)</f>
        <v>2</v>
      </c>
      <c r="O29" s="9">
        <f>+AA29</f>
        <v>0</v>
      </c>
      <c r="P29" s="9">
        <f>P30</f>
        <v>0</v>
      </c>
      <c r="Q29" s="9">
        <f t="shared" ref="Q29:AA29" si="3">Q30</f>
        <v>0</v>
      </c>
      <c r="R29" s="9">
        <f t="shared" si="3"/>
        <v>0</v>
      </c>
      <c r="S29" s="9">
        <f t="shared" si="3"/>
        <v>2</v>
      </c>
      <c r="T29" s="9">
        <f t="shared" si="3"/>
        <v>0</v>
      </c>
      <c r="U29" s="9">
        <f t="shared" si="3"/>
        <v>0</v>
      </c>
      <c r="V29" s="9">
        <f t="shared" si="3"/>
        <v>0</v>
      </c>
      <c r="W29" s="9">
        <f t="shared" si="3"/>
        <v>0</v>
      </c>
      <c r="X29" s="9">
        <f t="shared" si="3"/>
        <v>0</v>
      </c>
      <c r="Y29" s="9">
        <f t="shared" si="3"/>
        <v>0</v>
      </c>
      <c r="Z29" s="9">
        <f t="shared" si="3"/>
        <v>0</v>
      </c>
      <c r="AA29" s="9">
        <f t="shared" si="3"/>
        <v>0</v>
      </c>
      <c r="AB29" s="11"/>
      <c r="AC29" s="11"/>
      <c r="AD29" s="11"/>
      <c r="AE29" s="11"/>
      <c r="AF29" s="221"/>
      <c r="AG29" s="11"/>
      <c r="AH29" s="11"/>
      <c r="AI29" s="9"/>
      <c r="AJ29" s="9"/>
      <c r="AK29" s="9"/>
      <c r="AL29" s="9"/>
      <c r="AM29" s="9"/>
      <c r="AN29" s="9"/>
      <c r="AO29" s="9"/>
      <c r="AP29" s="9"/>
      <c r="AQ29" s="255"/>
      <c r="AR29" s="160"/>
      <c r="AS29" s="10"/>
      <c r="AT29" s="123"/>
      <c r="AU29" s="9"/>
      <c r="AV29" s="124"/>
      <c r="AW29" s="9"/>
      <c r="AX29" s="124"/>
      <c r="AY29" s="9"/>
      <c r="AZ29" s="124"/>
      <c r="BA29" s="9"/>
      <c r="BB29" s="125"/>
    </row>
    <row r="30" spans="1:54" ht="27.75" thickBot="1" x14ac:dyDescent="0.3">
      <c r="A30" s="60"/>
      <c r="B30" s="61"/>
      <c r="C30" s="61"/>
      <c r="D30" s="61"/>
      <c r="E30" s="61"/>
      <c r="F30" s="61"/>
      <c r="G30" s="61"/>
      <c r="H30" s="62" t="s">
        <v>45</v>
      </c>
      <c r="I30" s="61" t="s">
        <v>43</v>
      </c>
      <c r="J30" s="15">
        <v>2</v>
      </c>
      <c r="K30" s="15">
        <v>2</v>
      </c>
      <c r="L30" s="15">
        <v>2</v>
      </c>
      <c r="M30" s="15">
        <v>2</v>
      </c>
      <c r="N30" s="13">
        <f>SUM(P30:AA30)</f>
        <v>2</v>
      </c>
      <c r="O30" s="15">
        <f>+Y30</f>
        <v>0</v>
      </c>
      <c r="P30" s="15">
        <v>0</v>
      </c>
      <c r="Q30" s="15">
        <v>0</v>
      </c>
      <c r="R30" s="15">
        <v>0</v>
      </c>
      <c r="S30" s="15">
        <v>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/>
      <c r="AC30" s="15"/>
      <c r="AD30" s="15"/>
      <c r="AE30" s="15"/>
      <c r="AF30" s="223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257"/>
      <c r="AR30" s="191"/>
      <c r="AS30" s="17"/>
      <c r="AT30" s="123"/>
      <c r="AU30" s="15"/>
      <c r="AV30" s="128"/>
      <c r="AW30" s="15"/>
      <c r="AX30" s="128"/>
      <c r="AY30" s="15"/>
      <c r="AZ30" s="128"/>
      <c r="BA30" s="15"/>
      <c r="BB30" s="129"/>
    </row>
    <row r="31" spans="1:54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226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226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</row>
    <row r="32" spans="1:54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226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226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</row>
    <row r="33" spans="8:8" x14ac:dyDescent="0.25">
      <c r="H33" t="s">
        <v>227</v>
      </c>
    </row>
    <row r="34" spans="8:8" x14ac:dyDescent="0.25">
      <c r="H34" t="s">
        <v>225</v>
      </c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BB20"/>
  <sheetViews>
    <sheetView zoomScaleNormal="100" workbookViewId="0">
      <pane xSplit="8" ySplit="6" topLeftCell="I7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Z1" sqref="Z1:AA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33" width="13.7109375" customWidth="1"/>
    <col min="34" max="35" width="13.7109375" hidden="1" customWidth="1"/>
    <col min="36" max="45" width="15.28515625" hidden="1" customWidth="1"/>
    <col min="46" max="46" width="15.28515625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+'201. DS'!A3</f>
        <v>EJERCICIO FISCAL 2022 - ACTUALIZADA DICIEMBRE</v>
      </c>
    </row>
    <row r="4" spans="1:54" ht="15" customHeight="1" thickBot="1" x14ac:dyDescent="0.3"/>
    <row r="5" spans="1:54" s="91" customFormat="1" x14ac:dyDescent="0.25">
      <c r="A5" s="327" t="s">
        <v>178</v>
      </c>
      <c r="B5" s="328"/>
      <c r="C5" s="328"/>
      <c r="D5" s="328"/>
      <c r="E5" s="328"/>
      <c r="F5" s="328"/>
      <c r="G5" s="328"/>
      <c r="H5" s="328"/>
      <c r="I5" s="328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29" t="s">
        <v>2</v>
      </c>
      <c r="AC5" s="329"/>
      <c r="AD5" s="329"/>
      <c r="AE5" s="329"/>
      <c r="AF5" s="329"/>
      <c r="AG5" s="330"/>
      <c r="AH5" s="15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0"/>
      <c r="AU5" s="326" t="s">
        <v>51</v>
      </c>
      <c r="AV5" s="326"/>
      <c r="AW5" s="326" t="s">
        <v>52</v>
      </c>
      <c r="AX5" s="326"/>
      <c r="AY5" s="326" t="s">
        <v>53</v>
      </c>
      <c r="AZ5" s="326"/>
      <c r="BA5" s="326" t="s">
        <v>55</v>
      </c>
      <c r="BB5" s="326"/>
    </row>
    <row r="6" spans="1:54" s="107" customFormat="1" ht="36.75" thickBot="1" x14ac:dyDescent="0.3">
      <c r="A6" s="238" t="s">
        <v>3</v>
      </c>
      <c r="B6" s="229" t="s">
        <v>4</v>
      </c>
      <c r="C6" s="229" t="s">
        <v>5</v>
      </c>
      <c r="D6" s="229" t="s">
        <v>6</v>
      </c>
      <c r="E6" s="229" t="s">
        <v>7</v>
      </c>
      <c r="F6" s="229" t="s">
        <v>8</v>
      </c>
      <c r="G6" s="229" t="s">
        <v>9</v>
      </c>
      <c r="H6" s="230" t="s">
        <v>10</v>
      </c>
      <c r="I6" s="231" t="s">
        <v>11</v>
      </c>
      <c r="J6" s="232" t="s">
        <v>12</v>
      </c>
      <c r="K6" s="232" t="s">
        <v>65</v>
      </c>
      <c r="L6" s="232" t="s">
        <v>13</v>
      </c>
      <c r="M6" s="232" t="s">
        <v>14</v>
      </c>
      <c r="N6" s="233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3" t="s">
        <v>22</v>
      </c>
      <c r="V6" s="233" t="s">
        <v>23</v>
      </c>
      <c r="W6" s="233" t="s">
        <v>24</v>
      </c>
      <c r="X6" s="233" t="s">
        <v>25</v>
      </c>
      <c r="Y6" s="233" t="s">
        <v>26</v>
      </c>
      <c r="Z6" s="233" t="s">
        <v>27</v>
      </c>
      <c r="AA6" s="233" t="s">
        <v>28</v>
      </c>
      <c r="AB6" s="232" t="s">
        <v>12</v>
      </c>
      <c r="AC6" s="232" t="s">
        <v>65</v>
      </c>
      <c r="AD6" s="232" t="s">
        <v>13</v>
      </c>
      <c r="AE6" s="232" t="s">
        <v>14</v>
      </c>
      <c r="AF6" s="233" t="s">
        <v>15</v>
      </c>
      <c r="AG6" s="239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2"/>
      <c r="AU6" s="68" t="s">
        <v>54</v>
      </c>
      <c r="AV6" s="68" t="s">
        <v>2</v>
      </c>
      <c r="AW6" s="68" t="s">
        <v>54</v>
      </c>
      <c r="AX6" s="68" t="s">
        <v>2</v>
      </c>
      <c r="AY6" s="68" t="s">
        <v>54</v>
      </c>
      <c r="AZ6" s="68" t="s">
        <v>2</v>
      </c>
      <c r="BA6" s="68" t="s">
        <v>54</v>
      </c>
      <c r="BB6" s="68" t="s">
        <v>2</v>
      </c>
    </row>
    <row r="7" spans="1:54" s="91" customFormat="1" ht="27" x14ac:dyDescent="0.25">
      <c r="A7" s="4"/>
      <c r="B7" s="5">
        <v>23</v>
      </c>
      <c r="C7" s="5"/>
      <c r="D7" s="5"/>
      <c r="E7" s="6"/>
      <c r="F7" s="6"/>
      <c r="G7" s="6"/>
      <c r="H7" s="110" t="s">
        <v>179</v>
      </c>
      <c r="I7" s="199"/>
      <c r="J7" s="108"/>
      <c r="K7" s="108"/>
      <c r="L7" s="108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  <c r="AF7" s="11"/>
      <c r="AG7" s="16"/>
      <c r="AH7" s="189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32"/>
      <c r="AU7" s="11"/>
      <c r="AV7" s="11"/>
      <c r="AW7" s="11"/>
      <c r="AX7" s="11"/>
      <c r="AY7" s="11"/>
      <c r="AZ7" s="11"/>
      <c r="BA7" s="11"/>
      <c r="BB7" s="11"/>
    </row>
    <row r="8" spans="1:54" s="91" customFormat="1" x14ac:dyDescent="0.25">
      <c r="A8" s="4"/>
      <c r="B8" s="5"/>
      <c r="C8" s="5">
        <v>0</v>
      </c>
      <c r="D8" s="5"/>
      <c r="E8" s="6"/>
      <c r="F8" s="6"/>
      <c r="G8" s="6"/>
      <c r="H8" s="110" t="s">
        <v>30</v>
      </c>
      <c r="I8" s="19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6"/>
      <c r="AH8" s="190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32"/>
      <c r="AU8" s="11"/>
      <c r="AV8" s="11"/>
      <c r="AW8" s="11"/>
      <c r="AX8" s="11"/>
      <c r="AY8" s="11"/>
      <c r="AZ8" s="11"/>
      <c r="BA8" s="11"/>
      <c r="BB8" s="11"/>
    </row>
    <row r="9" spans="1:54" s="91" customFormat="1" x14ac:dyDescent="0.25">
      <c r="A9" s="4"/>
      <c r="B9" s="5"/>
      <c r="C9" s="5"/>
      <c r="D9" s="5">
        <v>0</v>
      </c>
      <c r="E9" s="6"/>
      <c r="F9" s="6"/>
      <c r="G9" s="6"/>
      <c r="H9" s="110" t="s">
        <v>31</v>
      </c>
      <c r="I9" s="19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6"/>
      <c r="AH9" s="190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32"/>
      <c r="AU9" s="11"/>
      <c r="AV9" s="11"/>
      <c r="AW9" s="11"/>
      <c r="AX9" s="11"/>
      <c r="AY9" s="11"/>
      <c r="AZ9" s="11"/>
      <c r="BA9" s="11"/>
      <c r="BB9" s="11"/>
    </row>
    <row r="10" spans="1:54" s="91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3" t="s">
        <v>59</v>
      </c>
      <c r="I10" s="19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9"/>
      <c r="AG10" s="10"/>
      <c r="AH10" s="160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6"/>
      <c r="AT10" s="132"/>
      <c r="AU10" s="9">
        <v>35</v>
      </c>
      <c r="AV10" s="9">
        <v>3100000</v>
      </c>
      <c r="AW10" s="9">
        <v>35</v>
      </c>
      <c r="AX10" s="9">
        <v>3100000</v>
      </c>
      <c r="AY10" s="9">
        <v>35</v>
      </c>
      <c r="AZ10" s="9">
        <v>3100000</v>
      </c>
      <c r="BA10" s="9">
        <v>35</v>
      </c>
      <c r="BB10" s="9">
        <v>3100000</v>
      </c>
    </row>
    <row r="11" spans="1:54" s="91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3" t="s">
        <v>60</v>
      </c>
      <c r="I11" s="237" t="s">
        <v>34</v>
      </c>
      <c r="J11" s="9">
        <f>J12</f>
        <v>39</v>
      </c>
      <c r="K11" s="9">
        <f>K12</f>
        <v>27</v>
      </c>
      <c r="L11" s="9">
        <f>L12</f>
        <v>27</v>
      </c>
      <c r="M11" s="9">
        <f>M12</f>
        <v>25</v>
      </c>
      <c r="N11" s="9">
        <f>SUM(P11:AA11)</f>
        <v>24</v>
      </c>
      <c r="O11" s="9">
        <f>+AA11</f>
        <v>1</v>
      </c>
      <c r="P11" s="9">
        <f t="shared" ref="P11:AA11" si="0">+P12</f>
        <v>0</v>
      </c>
      <c r="Q11" s="9">
        <f t="shared" si="0"/>
        <v>21</v>
      </c>
      <c r="R11" s="9">
        <f t="shared" si="0"/>
        <v>0</v>
      </c>
      <c r="S11" s="9">
        <f t="shared" si="0"/>
        <v>2</v>
      </c>
      <c r="T11" s="9">
        <f t="shared" si="0"/>
        <v>0</v>
      </c>
      <c r="U11" s="9">
        <f t="shared" si="0"/>
        <v>0</v>
      </c>
      <c r="V11" s="9">
        <f t="shared" si="0"/>
        <v>0</v>
      </c>
      <c r="W11" s="9">
        <f t="shared" si="0"/>
        <v>0</v>
      </c>
      <c r="X11" s="9">
        <f t="shared" si="0"/>
        <v>0</v>
      </c>
      <c r="Y11" s="9">
        <f t="shared" si="0"/>
        <v>0</v>
      </c>
      <c r="Z11" s="9">
        <f t="shared" si="0"/>
        <v>0</v>
      </c>
      <c r="AA11" s="9">
        <f t="shared" si="0"/>
        <v>1</v>
      </c>
      <c r="AB11" s="9">
        <v>7133248</v>
      </c>
      <c r="AC11" s="9">
        <v>5544293</v>
      </c>
      <c r="AD11" s="9">
        <v>5544293</v>
      </c>
      <c r="AE11" s="9">
        <v>4918168</v>
      </c>
      <c r="AF11" s="9">
        <f>3381017.16+AR11+AS11</f>
        <v>4487037.2</v>
      </c>
      <c r="AG11" s="378">
        <f>+AS11</f>
        <v>694045.92</v>
      </c>
      <c r="AH11" s="379">
        <v>285139.95</v>
      </c>
      <c r="AI11" s="345">
        <v>271343</v>
      </c>
      <c r="AJ11" s="345">
        <v>367824.06</v>
      </c>
      <c r="AK11" s="345">
        <v>344340.84</v>
      </c>
      <c r="AL11" s="345">
        <v>258525.68</v>
      </c>
      <c r="AM11" s="345">
        <v>206517.72</v>
      </c>
      <c r="AN11" s="345">
        <v>0</v>
      </c>
      <c r="AO11" s="345">
        <v>165247.1</v>
      </c>
      <c r="AP11" s="345">
        <v>126820.15</v>
      </c>
      <c r="AQ11" s="345">
        <v>391765.26</v>
      </c>
      <c r="AR11" s="345">
        <v>411974.12</v>
      </c>
      <c r="AS11" s="380">
        <v>694045.92</v>
      </c>
      <c r="AT11" s="132"/>
      <c r="AU11" s="11"/>
      <c r="AV11" s="11"/>
      <c r="AW11" s="11"/>
      <c r="AX11" s="11"/>
      <c r="AY11" s="11"/>
      <c r="AZ11" s="11"/>
      <c r="BA11" s="11"/>
      <c r="BB11" s="11"/>
    </row>
    <row r="12" spans="1:54" s="91" customFormat="1" x14ac:dyDescent="0.25">
      <c r="A12" s="4"/>
      <c r="B12" s="5"/>
      <c r="C12" s="5"/>
      <c r="D12" s="5"/>
      <c r="E12" s="6"/>
      <c r="F12" s="6"/>
      <c r="G12" s="6">
        <v>2</v>
      </c>
      <c r="H12" s="110" t="s">
        <v>60</v>
      </c>
      <c r="I12" s="199" t="s">
        <v>34</v>
      </c>
      <c r="J12" s="11">
        <v>39</v>
      </c>
      <c r="K12" s="11">
        <v>27</v>
      </c>
      <c r="L12" s="11">
        <v>27</v>
      </c>
      <c r="M12" s="11">
        <v>25</v>
      </c>
      <c r="N12" s="11">
        <f>+SUM(P12:AA12)</f>
        <v>24</v>
      </c>
      <c r="O12" s="9">
        <f>+AA12</f>
        <v>1</v>
      </c>
      <c r="P12" s="11">
        <v>0</v>
      </c>
      <c r="Q12" s="11">
        <v>21</v>
      </c>
      <c r="R12" s="11">
        <v>0</v>
      </c>
      <c r="S12" s="11">
        <v>2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1</v>
      </c>
      <c r="AB12" s="11"/>
      <c r="AC12" s="11"/>
      <c r="AD12" s="11"/>
      <c r="AE12" s="11"/>
      <c r="AF12" s="11"/>
      <c r="AG12" s="10"/>
      <c r="AH12" s="190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6"/>
      <c r="AT12" s="132"/>
      <c r="AU12" s="11"/>
      <c r="AV12" s="11"/>
      <c r="AW12" s="11"/>
      <c r="AX12" s="11"/>
      <c r="AY12" s="11"/>
      <c r="AZ12" s="11"/>
      <c r="BA12" s="11"/>
      <c r="BB12" s="11"/>
    </row>
    <row r="13" spans="1:54" s="91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3" t="s">
        <v>180</v>
      </c>
      <c r="I13" s="199"/>
      <c r="J13" s="11"/>
      <c r="K13" s="11"/>
      <c r="L13" s="11"/>
      <c r="M13" s="11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1"/>
      <c r="AC13" s="11"/>
      <c r="AD13" s="11"/>
      <c r="AE13" s="11"/>
      <c r="AF13" s="11"/>
      <c r="AG13" s="10"/>
      <c r="AH13" s="190"/>
      <c r="AI13" s="11"/>
      <c r="AJ13" s="11"/>
      <c r="AK13" s="9"/>
      <c r="AL13" s="11"/>
      <c r="AM13" s="9"/>
      <c r="AN13" s="9"/>
      <c r="AO13" s="9"/>
      <c r="AP13" s="9"/>
      <c r="AQ13" s="9"/>
      <c r="AR13" s="9"/>
      <c r="AS13" s="10"/>
      <c r="AT13" s="132"/>
      <c r="AU13" s="9">
        <v>30000</v>
      </c>
      <c r="AV13" s="9">
        <v>3000000</v>
      </c>
      <c r="AW13" s="9">
        <v>45000</v>
      </c>
      <c r="AX13" s="9">
        <v>4500000</v>
      </c>
      <c r="AY13" s="9">
        <v>60000</v>
      </c>
      <c r="AZ13" s="9">
        <v>6000000</v>
      </c>
      <c r="BA13" s="9">
        <v>75000</v>
      </c>
      <c r="BB13" s="9">
        <v>7500000</v>
      </c>
    </row>
    <row r="14" spans="1:54" s="91" customFormat="1" ht="45" x14ac:dyDescent="0.25">
      <c r="A14" s="4">
        <v>4</v>
      </c>
      <c r="B14" s="5"/>
      <c r="C14" s="5"/>
      <c r="D14" s="5"/>
      <c r="E14" s="6"/>
      <c r="F14" s="6"/>
      <c r="G14" s="5">
        <v>1</v>
      </c>
      <c r="H14" s="53" t="s">
        <v>181</v>
      </c>
      <c r="I14" s="237" t="s">
        <v>101</v>
      </c>
      <c r="J14" s="9">
        <f>J15</f>
        <v>15001</v>
      </c>
      <c r="K14" s="9">
        <f>K15</f>
        <v>25</v>
      </c>
      <c r="L14" s="9">
        <f>L15</f>
        <v>25</v>
      </c>
      <c r="M14" s="9">
        <f>M15</f>
        <v>25</v>
      </c>
      <c r="N14" s="9">
        <f>SUM(P14:AA14)</f>
        <v>0</v>
      </c>
      <c r="O14" s="9">
        <f>+Z14</f>
        <v>0</v>
      </c>
      <c r="P14" s="9">
        <f t="shared" ref="P14:AA14" si="1">SUM(P15)</f>
        <v>0</v>
      </c>
      <c r="Q14" s="9">
        <f t="shared" si="1"/>
        <v>0</v>
      </c>
      <c r="R14" s="9">
        <f t="shared" si="1"/>
        <v>0</v>
      </c>
      <c r="S14" s="9">
        <f t="shared" si="1"/>
        <v>0</v>
      </c>
      <c r="T14" s="9">
        <f t="shared" si="1"/>
        <v>0</v>
      </c>
      <c r="U14" s="9">
        <f t="shared" si="1"/>
        <v>0</v>
      </c>
      <c r="V14" s="9">
        <f t="shared" si="1"/>
        <v>0</v>
      </c>
      <c r="W14" s="9">
        <f t="shared" si="1"/>
        <v>0</v>
      </c>
      <c r="X14" s="9">
        <f t="shared" si="1"/>
        <v>0</v>
      </c>
      <c r="Y14" s="9">
        <f t="shared" si="1"/>
        <v>0</v>
      </c>
      <c r="Z14" s="9">
        <f t="shared" si="1"/>
        <v>0</v>
      </c>
      <c r="AA14" s="9">
        <f t="shared" si="1"/>
        <v>0</v>
      </c>
      <c r="AB14" s="9">
        <v>3053995</v>
      </c>
      <c r="AC14" s="9">
        <v>2343355</v>
      </c>
      <c r="AD14" s="9">
        <v>2343355</v>
      </c>
      <c r="AE14" s="9">
        <v>1719499</v>
      </c>
      <c r="AF14" s="9">
        <f>1359434.43+AR14+AS14</f>
        <v>1696834.43</v>
      </c>
      <c r="AG14" s="10">
        <f>+AS14</f>
        <v>168700</v>
      </c>
      <c r="AH14" s="190">
        <v>103090.31</v>
      </c>
      <c r="AI14" s="11">
        <v>110200</v>
      </c>
      <c r="AJ14" s="11">
        <v>110200</v>
      </c>
      <c r="AK14" s="11">
        <v>165700</v>
      </c>
      <c r="AL14" s="11">
        <v>179400</v>
      </c>
      <c r="AM14" s="11">
        <v>77500</v>
      </c>
      <c r="AN14" s="11">
        <v>387334.44</v>
      </c>
      <c r="AO14" s="11">
        <v>45500</v>
      </c>
      <c r="AP14" s="11">
        <v>10000</v>
      </c>
      <c r="AQ14" s="11">
        <v>155119.35</v>
      </c>
      <c r="AR14" s="307">
        <v>168700</v>
      </c>
      <c r="AS14" s="16">
        <v>168700</v>
      </c>
      <c r="AT14" s="132"/>
      <c r="AU14" s="11"/>
      <c r="AV14" s="11"/>
      <c r="AW14" s="11"/>
      <c r="AX14" s="11"/>
      <c r="AY14" s="11"/>
      <c r="AZ14" s="11"/>
      <c r="BA14" s="11"/>
      <c r="BB14" s="11"/>
    </row>
    <row r="15" spans="1:54" s="91" customFormat="1" ht="27.75" thickBot="1" x14ac:dyDescent="0.3">
      <c r="A15" s="102"/>
      <c r="B15" s="109"/>
      <c r="C15" s="109"/>
      <c r="D15" s="109"/>
      <c r="E15" s="61"/>
      <c r="F15" s="61"/>
      <c r="G15" s="61">
        <v>2</v>
      </c>
      <c r="H15" s="62" t="s">
        <v>182</v>
      </c>
      <c r="I15" s="241" t="s">
        <v>101</v>
      </c>
      <c r="J15" s="15">
        <v>15001</v>
      </c>
      <c r="K15" s="15">
        <v>25</v>
      </c>
      <c r="L15" s="15">
        <v>25</v>
      </c>
      <c r="M15" s="15">
        <v>25</v>
      </c>
      <c r="N15" s="15">
        <f>+SUM(P15:AA15)</f>
        <v>0</v>
      </c>
      <c r="O15" s="13">
        <f>+Z15</f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/>
      <c r="AC15" s="15"/>
      <c r="AD15" s="15"/>
      <c r="AE15" s="15"/>
      <c r="AF15" s="15"/>
      <c r="AG15" s="17"/>
      <c r="AH15" s="191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7"/>
      <c r="AT15" s="132"/>
      <c r="AU15" s="11"/>
      <c r="AV15" s="11"/>
      <c r="AW15" s="11"/>
      <c r="AX15" s="11"/>
      <c r="AY15" s="11"/>
      <c r="AZ15" s="11"/>
      <c r="BA15" s="11"/>
      <c r="BB15" s="11"/>
    </row>
    <row r="16" spans="1:54" s="91" customFormat="1" ht="13.5" x14ac:dyDescent="0.25"/>
    <row r="17" spans="8:8" s="91" customFormat="1" ht="13.5" x14ac:dyDescent="0.25"/>
    <row r="18" spans="8:8" s="91" customFormat="1" ht="13.5" x14ac:dyDescent="0.25">
      <c r="H18" s="91" t="s">
        <v>216</v>
      </c>
    </row>
    <row r="19" spans="8:8" s="91" customFormat="1" ht="13.5" x14ac:dyDescent="0.25">
      <c r="H19" s="91" t="s">
        <v>217</v>
      </c>
    </row>
    <row r="20" spans="8:8" s="91" customFormat="1" ht="13.5" x14ac:dyDescent="0.25"/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B26"/>
  <sheetViews>
    <sheetView zoomScaleNormal="100" workbookViewId="0">
      <pane xSplit="8" ySplit="6" topLeftCell="I7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P1" sqref="AP1:AS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1.7109375" hidden="1" customWidth="1"/>
    <col min="12" max="13" width="11.7109375" customWidth="1"/>
    <col min="14" max="15" width="13.7109375" customWidth="1"/>
    <col min="16" max="27" width="13.7109375" hidden="1" customWidth="1"/>
    <col min="28" max="33" width="13.7109375" customWidth="1"/>
    <col min="34" max="42" width="13.7109375" hidden="1" customWidth="1"/>
    <col min="43" max="43" width="13.7109375" style="211" hidden="1" customWidth="1"/>
    <col min="44" max="45" width="13.7109375" hidden="1" customWidth="1"/>
    <col min="47" max="47" width="11.7109375" customWidth="1"/>
    <col min="48" max="48" width="15.7109375" customWidth="1"/>
    <col min="49" max="49" width="11.7109375" customWidth="1"/>
    <col min="50" max="50" width="15.7109375" customWidth="1"/>
    <col min="51" max="51" width="11.7109375" customWidth="1"/>
    <col min="52" max="52" width="15.7109375" customWidth="1"/>
    <col min="53" max="53" width="11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+'212. FONDETEL'!A3</f>
        <v>EJERCICIO FISCAL 2022 - ACTUALIZADA DICIEMBRE</v>
      </c>
    </row>
    <row r="4" spans="1:54" ht="15" customHeight="1" thickBot="1" x14ac:dyDescent="0.3"/>
    <row r="5" spans="1:54" s="91" customFormat="1" x14ac:dyDescent="0.25">
      <c r="A5" s="327" t="s">
        <v>183</v>
      </c>
      <c r="B5" s="328"/>
      <c r="C5" s="328"/>
      <c r="D5" s="328"/>
      <c r="E5" s="328"/>
      <c r="F5" s="328"/>
      <c r="G5" s="328"/>
      <c r="H5" s="328"/>
      <c r="I5" s="328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29" t="s">
        <v>2</v>
      </c>
      <c r="AC5" s="329"/>
      <c r="AD5" s="329"/>
      <c r="AE5" s="329"/>
      <c r="AF5" s="329"/>
      <c r="AG5" s="329"/>
      <c r="AH5" s="39"/>
      <c r="AI5" s="39"/>
      <c r="AJ5" s="39"/>
      <c r="AK5" s="39"/>
      <c r="AL5" s="39"/>
      <c r="AM5" s="39"/>
      <c r="AN5" s="39"/>
      <c r="AO5" s="39"/>
      <c r="AP5" s="39"/>
      <c r="AQ5" s="253"/>
      <c r="AR5" s="158"/>
      <c r="AS5" s="40"/>
      <c r="AT5" s="132"/>
      <c r="AU5" s="326" t="s">
        <v>51</v>
      </c>
      <c r="AV5" s="326"/>
      <c r="AW5" s="326" t="s">
        <v>52</v>
      </c>
      <c r="AX5" s="326"/>
      <c r="AY5" s="326" t="s">
        <v>53</v>
      </c>
      <c r="AZ5" s="326"/>
      <c r="BA5" s="326" t="s">
        <v>55</v>
      </c>
      <c r="BB5" s="326"/>
    </row>
    <row r="6" spans="1:54" s="107" customFormat="1" ht="36.75" thickBot="1" x14ac:dyDescent="0.3">
      <c r="A6" s="238" t="s">
        <v>3</v>
      </c>
      <c r="B6" s="229" t="s">
        <v>4</v>
      </c>
      <c r="C6" s="229" t="s">
        <v>5</v>
      </c>
      <c r="D6" s="229" t="s">
        <v>6</v>
      </c>
      <c r="E6" s="229" t="s">
        <v>7</v>
      </c>
      <c r="F6" s="229" t="s">
        <v>8</v>
      </c>
      <c r="G6" s="229" t="s">
        <v>9</v>
      </c>
      <c r="H6" s="230" t="s">
        <v>10</v>
      </c>
      <c r="I6" s="231" t="s">
        <v>11</v>
      </c>
      <c r="J6" s="232" t="s">
        <v>12</v>
      </c>
      <c r="K6" s="232" t="s">
        <v>65</v>
      </c>
      <c r="L6" s="232" t="s">
        <v>13</v>
      </c>
      <c r="M6" s="232" t="s">
        <v>14</v>
      </c>
      <c r="N6" s="233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3" t="s">
        <v>22</v>
      </c>
      <c r="V6" s="233" t="s">
        <v>23</v>
      </c>
      <c r="W6" s="233" t="s">
        <v>24</v>
      </c>
      <c r="X6" s="233" t="s">
        <v>25</v>
      </c>
      <c r="Y6" s="233" t="s">
        <v>26</v>
      </c>
      <c r="Z6" s="233" t="s">
        <v>27</v>
      </c>
      <c r="AA6" s="233" t="s">
        <v>28</v>
      </c>
      <c r="AB6" s="232" t="s">
        <v>12</v>
      </c>
      <c r="AC6" s="232" t="s">
        <v>65</v>
      </c>
      <c r="AD6" s="232" t="s">
        <v>13</v>
      </c>
      <c r="AE6" s="232" t="s">
        <v>14</v>
      </c>
      <c r="AF6" s="233" t="s">
        <v>15</v>
      </c>
      <c r="AG6" s="233" t="s">
        <v>16</v>
      </c>
      <c r="AH6" s="233" t="s">
        <v>17</v>
      </c>
      <c r="AI6" s="233" t="s">
        <v>18</v>
      </c>
      <c r="AJ6" s="233" t="s">
        <v>19</v>
      </c>
      <c r="AK6" s="233" t="s">
        <v>20</v>
      </c>
      <c r="AL6" s="233" t="s">
        <v>21</v>
      </c>
      <c r="AM6" s="233" t="s">
        <v>22</v>
      </c>
      <c r="AN6" s="233" t="s">
        <v>23</v>
      </c>
      <c r="AO6" s="233" t="s">
        <v>24</v>
      </c>
      <c r="AP6" s="233" t="s">
        <v>25</v>
      </c>
      <c r="AQ6" s="254" t="s">
        <v>26</v>
      </c>
      <c r="AR6" s="30" t="s">
        <v>27</v>
      </c>
      <c r="AS6" s="29" t="s">
        <v>28</v>
      </c>
      <c r="AT6" s="133"/>
      <c r="AU6" s="68" t="s">
        <v>54</v>
      </c>
      <c r="AV6" s="68" t="s">
        <v>2</v>
      </c>
      <c r="AW6" s="68" t="s">
        <v>54</v>
      </c>
      <c r="AX6" s="68" t="s">
        <v>2</v>
      </c>
      <c r="AY6" s="68" t="s">
        <v>54</v>
      </c>
      <c r="AZ6" s="68" t="s">
        <v>2</v>
      </c>
      <c r="BA6" s="68" t="s">
        <v>54</v>
      </c>
      <c r="BB6" s="68" t="s">
        <v>2</v>
      </c>
    </row>
    <row r="7" spans="1:54" s="91" customFormat="1" ht="45" x14ac:dyDescent="0.25">
      <c r="A7" s="4"/>
      <c r="B7" s="5">
        <v>20</v>
      </c>
      <c r="C7" s="5"/>
      <c r="D7" s="5"/>
      <c r="E7" s="6"/>
      <c r="F7" s="6"/>
      <c r="G7" s="6"/>
      <c r="H7" s="53" t="s">
        <v>184</v>
      </c>
      <c r="I7" s="19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256"/>
      <c r="AR7" s="189"/>
      <c r="AS7" s="23"/>
      <c r="AT7" s="132"/>
      <c r="AU7" s="11"/>
      <c r="AV7" s="11"/>
      <c r="AW7" s="11"/>
      <c r="AX7" s="11"/>
      <c r="AY7" s="11"/>
      <c r="AZ7" s="11"/>
      <c r="BA7" s="11"/>
      <c r="BB7" s="11"/>
    </row>
    <row r="8" spans="1:54" s="91" customFormat="1" x14ac:dyDescent="0.25">
      <c r="A8" s="4"/>
      <c r="B8" s="5"/>
      <c r="C8" s="5">
        <v>0</v>
      </c>
      <c r="D8" s="5"/>
      <c r="E8" s="6"/>
      <c r="F8" s="6"/>
      <c r="G8" s="6"/>
      <c r="H8" s="53" t="s">
        <v>30</v>
      </c>
      <c r="I8" s="19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256"/>
      <c r="AR8" s="190"/>
      <c r="AS8" s="16"/>
      <c r="AT8" s="132"/>
      <c r="AU8" s="11"/>
      <c r="AV8" s="11"/>
      <c r="AW8" s="11"/>
      <c r="AX8" s="11"/>
      <c r="AY8" s="11"/>
      <c r="AZ8" s="11"/>
      <c r="BA8" s="11"/>
      <c r="BB8" s="11"/>
    </row>
    <row r="9" spans="1:54" s="91" customFormat="1" x14ac:dyDescent="0.25">
      <c r="A9" s="4"/>
      <c r="B9" s="5"/>
      <c r="C9" s="5"/>
      <c r="D9" s="5">
        <v>0</v>
      </c>
      <c r="E9" s="6"/>
      <c r="F9" s="6"/>
      <c r="G9" s="6"/>
      <c r="H9" s="53" t="s">
        <v>31</v>
      </c>
      <c r="I9" s="19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256"/>
      <c r="AR9" s="190"/>
      <c r="AS9" s="16"/>
      <c r="AT9" s="132"/>
      <c r="AU9" s="11"/>
      <c r="AV9" s="11"/>
      <c r="AW9" s="11"/>
      <c r="AX9" s="11"/>
      <c r="AY9" s="11"/>
      <c r="AZ9" s="11"/>
      <c r="BA9" s="11"/>
      <c r="BB9" s="11"/>
    </row>
    <row r="10" spans="1:54" s="91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3" t="s">
        <v>59</v>
      </c>
      <c r="I10" s="19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>
        <v>14317099.999999963</v>
      </c>
      <c r="AC10" s="9">
        <v>11068011</v>
      </c>
      <c r="AD10" s="9">
        <v>11068011</v>
      </c>
      <c r="AE10" s="9">
        <v>10262594</v>
      </c>
      <c r="AF10" s="9">
        <f>7449846.14+AG10+AR10</f>
        <v>9417349.5099999998</v>
      </c>
      <c r="AG10" s="9">
        <f>+AS10</f>
        <v>1190069.05</v>
      </c>
      <c r="AH10" s="11">
        <v>533884.52</v>
      </c>
      <c r="AI10" s="11">
        <v>589053.93000000005</v>
      </c>
      <c r="AJ10" s="11">
        <v>681035.37</v>
      </c>
      <c r="AK10" s="11">
        <v>590599.93000000005</v>
      </c>
      <c r="AL10" s="11">
        <v>497769.37</v>
      </c>
      <c r="AM10" s="11">
        <v>567055.81000000006</v>
      </c>
      <c r="AN10" s="11">
        <v>2676831.69</v>
      </c>
      <c r="AO10" s="11">
        <v>469475.48</v>
      </c>
      <c r="AP10" s="11">
        <v>248631.21</v>
      </c>
      <c r="AQ10" s="256">
        <v>1150291.76</v>
      </c>
      <c r="AR10" s="190">
        <v>777434.32</v>
      </c>
      <c r="AS10" s="16">
        <v>1190069.05</v>
      </c>
      <c r="AT10" s="132"/>
      <c r="AU10" s="9">
        <v>200</v>
      </c>
      <c r="AV10" s="9">
        <v>15250000</v>
      </c>
      <c r="AW10" s="9">
        <v>200</v>
      </c>
      <c r="AX10" s="9">
        <v>15500000</v>
      </c>
      <c r="AY10" s="9">
        <v>200</v>
      </c>
      <c r="AZ10" s="9">
        <v>15750000</v>
      </c>
      <c r="BA10" s="9">
        <v>200</v>
      </c>
      <c r="BB10" s="9">
        <v>15850000</v>
      </c>
    </row>
    <row r="11" spans="1:54" s="91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3" t="s">
        <v>60</v>
      </c>
      <c r="I11" s="237" t="s">
        <v>34</v>
      </c>
      <c r="J11" s="9">
        <f>J12</f>
        <v>190</v>
      </c>
      <c r="K11" s="9">
        <f>K12</f>
        <v>195</v>
      </c>
      <c r="L11" s="9">
        <f>L12</f>
        <v>195</v>
      </c>
      <c r="M11" s="9">
        <f>M12</f>
        <v>180</v>
      </c>
      <c r="N11" s="9">
        <f>178+O11</f>
        <v>180</v>
      </c>
      <c r="O11" s="9">
        <f>+AA11</f>
        <v>2</v>
      </c>
      <c r="P11" s="9">
        <f t="shared" ref="P11:AA11" si="0">+P12</f>
        <v>0</v>
      </c>
      <c r="Q11" s="9">
        <f t="shared" si="0"/>
        <v>51</v>
      </c>
      <c r="R11" s="9">
        <f t="shared" si="0"/>
        <v>4</v>
      </c>
      <c r="S11" s="9">
        <f t="shared" si="0"/>
        <v>50</v>
      </c>
      <c r="T11" s="9">
        <f t="shared" si="0"/>
        <v>6</v>
      </c>
      <c r="U11" s="9">
        <f t="shared" si="0"/>
        <v>0</v>
      </c>
      <c r="V11" s="9">
        <f t="shared" si="0"/>
        <v>40</v>
      </c>
      <c r="W11" s="9">
        <f t="shared" si="0"/>
        <v>11</v>
      </c>
      <c r="X11" s="9">
        <f t="shared" si="0"/>
        <v>5</v>
      </c>
      <c r="Y11" s="9">
        <v>6</v>
      </c>
      <c r="Z11" s="9">
        <v>5</v>
      </c>
      <c r="AA11" s="9">
        <f t="shared" si="0"/>
        <v>2</v>
      </c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255"/>
      <c r="AR11" s="160"/>
      <c r="AS11" s="10"/>
      <c r="AT11" s="132"/>
      <c r="AU11" s="11"/>
      <c r="AV11" s="11"/>
      <c r="AW11" s="11"/>
      <c r="AX11" s="11"/>
      <c r="AY11" s="11"/>
      <c r="AZ11" s="11"/>
      <c r="BA11" s="11"/>
      <c r="BB11" s="11"/>
    </row>
    <row r="12" spans="1:54" s="91" customFormat="1" x14ac:dyDescent="0.25">
      <c r="A12" s="4"/>
      <c r="B12" s="5"/>
      <c r="C12" s="5"/>
      <c r="D12" s="5"/>
      <c r="E12" s="6"/>
      <c r="F12" s="6"/>
      <c r="G12" s="6">
        <v>2</v>
      </c>
      <c r="H12" s="110" t="s">
        <v>60</v>
      </c>
      <c r="I12" s="199" t="s">
        <v>34</v>
      </c>
      <c r="J12" s="11">
        <v>190</v>
      </c>
      <c r="K12" s="11">
        <v>195</v>
      </c>
      <c r="L12" s="11">
        <v>195</v>
      </c>
      <c r="M12" s="11">
        <v>180</v>
      </c>
      <c r="N12" s="11">
        <f>178+O12</f>
        <v>180</v>
      </c>
      <c r="O12" s="11">
        <f>+AA12</f>
        <v>2</v>
      </c>
      <c r="P12" s="11">
        <v>0</v>
      </c>
      <c r="Q12" s="11">
        <v>51</v>
      </c>
      <c r="R12" s="11">
        <v>4</v>
      </c>
      <c r="S12" s="11">
        <v>50</v>
      </c>
      <c r="T12" s="11">
        <v>6</v>
      </c>
      <c r="U12" s="11">
        <v>0</v>
      </c>
      <c r="V12" s="11">
        <v>40</v>
      </c>
      <c r="W12" s="11">
        <v>11</v>
      </c>
      <c r="X12" s="11">
        <v>5</v>
      </c>
      <c r="Y12" s="11">
        <v>6</v>
      </c>
      <c r="Z12" s="11">
        <v>5</v>
      </c>
      <c r="AA12" s="11">
        <v>2</v>
      </c>
      <c r="AB12" s="9"/>
      <c r="AC12" s="9"/>
      <c r="AD12" s="9"/>
      <c r="AE12" s="9"/>
      <c r="AF12" s="9"/>
      <c r="AG12" s="9"/>
      <c r="AH12" s="9"/>
      <c r="AI12" s="9"/>
      <c r="AJ12" s="9"/>
      <c r="AK12" s="11"/>
      <c r="AL12" s="9"/>
      <c r="AM12" s="11"/>
      <c r="AN12" s="11"/>
      <c r="AO12" s="11"/>
      <c r="AP12" s="11"/>
      <c r="AQ12" s="256"/>
      <c r="AR12" s="190"/>
      <c r="AS12" s="16"/>
      <c r="AT12" s="132"/>
      <c r="AU12" s="11"/>
      <c r="AV12" s="11"/>
      <c r="AW12" s="11"/>
      <c r="AX12" s="11"/>
      <c r="AY12" s="11"/>
      <c r="AZ12" s="11"/>
      <c r="BA12" s="11"/>
      <c r="BB12" s="11"/>
    </row>
    <row r="13" spans="1:54" s="91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3" t="s">
        <v>185</v>
      </c>
      <c r="I13" s="19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2825100</v>
      </c>
      <c r="AC13" s="9">
        <v>303539</v>
      </c>
      <c r="AD13" s="9">
        <v>307989</v>
      </c>
      <c r="AE13" s="9">
        <v>511958</v>
      </c>
      <c r="AF13" s="9">
        <f>38705.33+AG13+AS13</f>
        <v>38705.33</v>
      </c>
      <c r="AG13" s="9">
        <f>+AS13</f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18724</v>
      </c>
      <c r="AN13" s="11">
        <v>18724</v>
      </c>
      <c r="AO13" s="11">
        <v>0</v>
      </c>
      <c r="AP13" s="11">
        <v>0</v>
      </c>
      <c r="AQ13" s="256">
        <v>19981.330000000002</v>
      </c>
      <c r="AR13" s="190">
        <v>0</v>
      </c>
      <c r="AS13" s="16">
        <v>0</v>
      </c>
      <c r="AT13" s="132"/>
      <c r="AU13" s="9">
        <v>1500</v>
      </c>
      <c r="AV13" s="9">
        <v>2825100</v>
      </c>
      <c r="AW13" s="9">
        <v>1500</v>
      </c>
      <c r="AX13" s="9">
        <v>2825100</v>
      </c>
      <c r="AY13" s="9">
        <v>1500</v>
      </c>
      <c r="AZ13" s="9">
        <v>2825100</v>
      </c>
      <c r="BA13" s="9">
        <v>1500</v>
      </c>
      <c r="BB13" s="9">
        <v>2825100</v>
      </c>
    </row>
    <row r="14" spans="1:54" s="91" customFormat="1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3" t="s">
        <v>186</v>
      </c>
      <c r="I14" s="237" t="s">
        <v>187</v>
      </c>
      <c r="J14" s="9">
        <f>J15</f>
        <v>1500</v>
      </c>
      <c r="K14" s="9">
        <f>K15</f>
        <v>114</v>
      </c>
      <c r="L14" s="9">
        <f>L15</f>
        <v>114</v>
      </c>
      <c r="M14" s="9">
        <v>300</v>
      </c>
      <c r="N14" s="9">
        <f>SUM(P14:AA14)</f>
        <v>300</v>
      </c>
      <c r="O14" s="9">
        <f>+AA14</f>
        <v>25</v>
      </c>
      <c r="P14" s="9">
        <f t="shared" ref="P14:AA14" si="1">+P15</f>
        <v>0</v>
      </c>
      <c r="Q14" s="9">
        <f t="shared" si="1"/>
        <v>0</v>
      </c>
      <c r="R14" s="9">
        <f t="shared" si="1"/>
        <v>0</v>
      </c>
      <c r="S14" s="9">
        <f t="shared" si="1"/>
        <v>0</v>
      </c>
      <c r="T14" s="9">
        <f t="shared" si="1"/>
        <v>0</v>
      </c>
      <c r="U14" s="9">
        <f t="shared" si="1"/>
        <v>0</v>
      </c>
      <c r="V14" s="9">
        <f t="shared" si="1"/>
        <v>0</v>
      </c>
      <c r="W14" s="9">
        <f t="shared" si="1"/>
        <v>75</v>
      </c>
      <c r="X14" s="9">
        <v>50</v>
      </c>
      <c r="Y14" s="9">
        <v>100</v>
      </c>
      <c r="Z14" s="9">
        <v>50</v>
      </c>
      <c r="AA14" s="9">
        <f t="shared" si="1"/>
        <v>25</v>
      </c>
      <c r="AB14" s="9"/>
      <c r="AC14" s="9"/>
      <c r="AD14" s="9"/>
      <c r="AE14" s="9"/>
      <c r="AF14" s="9"/>
      <c r="AG14" s="11"/>
      <c r="AH14" s="9"/>
      <c r="AI14" s="9"/>
      <c r="AJ14" s="9"/>
      <c r="AK14" s="9"/>
      <c r="AL14" s="9"/>
      <c r="AM14" s="9"/>
      <c r="AN14" s="9"/>
      <c r="AO14" s="9"/>
      <c r="AP14" s="9"/>
      <c r="AQ14" s="255"/>
      <c r="AR14" s="160"/>
      <c r="AS14" s="10"/>
      <c r="AT14" s="132"/>
      <c r="AU14" s="11"/>
      <c r="AV14" s="11"/>
      <c r="AW14" s="11"/>
      <c r="AX14" s="11"/>
      <c r="AY14" s="11"/>
      <c r="AZ14" s="11"/>
      <c r="BA14" s="11"/>
      <c r="BB14" s="11"/>
    </row>
    <row r="15" spans="1:54" s="91" customFormat="1" ht="27" x14ac:dyDescent="0.25">
      <c r="A15" s="4"/>
      <c r="B15" s="5"/>
      <c r="C15" s="5"/>
      <c r="D15" s="5"/>
      <c r="E15" s="6"/>
      <c r="F15" s="6"/>
      <c r="G15" s="6">
        <v>2</v>
      </c>
      <c r="H15" s="110" t="s">
        <v>186</v>
      </c>
      <c r="I15" s="199" t="s">
        <v>187</v>
      </c>
      <c r="J15" s="11">
        <v>1500</v>
      </c>
      <c r="K15" s="11">
        <v>114</v>
      </c>
      <c r="L15" s="11">
        <v>114</v>
      </c>
      <c r="M15" s="11">
        <v>300</v>
      </c>
      <c r="N15" s="11">
        <f>SUM(P15:AA15)</f>
        <v>300</v>
      </c>
      <c r="O15" s="11">
        <f>+AA15</f>
        <v>25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75</v>
      </c>
      <c r="X15" s="11">
        <v>50</v>
      </c>
      <c r="Y15" s="11">
        <v>100</v>
      </c>
      <c r="Z15" s="11">
        <v>50</v>
      </c>
      <c r="AA15" s="11">
        <v>25</v>
      </c>
      <c r="AB15" s="9"/>
      <c r="AC15" s="9"/>
      <c r="AD15" s="9"/>
      <c r="AE15" s="9"/>
      <c r="AF15" s="9"/>
      <c r="AG15" s="11"/>
      <c r="AH15" s="9"/>
      <c r="AI15" s="11"/>
      <c r="AJ15" s="9"/>
      <c r="AK15" s="11"/>
      <c r="AL15" s="11"/>
      <c r="AM15" s="11"/>
      <c r="AN15" s="11"/>
      <c r="AO15" s="11"/>
      <c r="AP15" s="11"/>
      <c r="AQ15" s="256"/>
      <c r="AR15" s="190"/>
      <c r="AS15" s="16"/>
      <c r="AT15" s="132"/>
      <c r="AU15" s="11"/>
      <c r="AV15" s="11"/>
      <c r="AW15" s="11"/>
      <c r="AX15" s="11"/>
      <c r="AY15" s="11"/>
      <c r="AZ15" s="11"/>
      <c r="BA15" s="11"/>
      <c r="BB15" s="11"/>
    </row>
    <row r="16" spans="1:54" s="91" customFormat="1" ht="27.75" thickBot="1" x14ac:dyDescent="0.3">
      <c r="A16" s="102"/>
      <c r="B16" s="109"/>
      <c r="C16" s="109"/>
      <c r="D16" s="61"/>
      <c r="E16" s="61"/>
      <c r="F16" s="61"/>
      <c r="G16" s="61">
        <v>3</v>
      </c>
      <c r="H16" s="62" t="s">
        <v>188</v>
      </c>
      <c r="I16" s="241" t="s">
        <v>189</v>
      </c>
      <c r="J16" s="15">
        <v>1800000</v>
      </c>
      <c r="K16" s="15">
        <v>1323000</v>
      </c>
      <c r="L16" s="15">
        <v>1323000</v>
      </c>
      <c r="M16" s="15">
        <v>1535000</v>
      </c>
      <c r="N16" s="15">
        <f>1070482+Z16+AA16</f>
        <v>1535000</v>
      </c>
      <c r="O16" s="15">
        <f>+AA16</f>
        <v>300000</v>
      </c>
      <c r="P16" s="15">
        <v>0</v>
      </c>
      <c r="Q16" s="15">
        <v>112500</v>
      </c>
      <c r="R16" s="15">
        <v>112500</v>
      </c>
      <c r="S16" s="15">
        <v>0</v>
      </c>
      <c r="T16" s="15">
        <v>0</v>
      </c>
      <c r="U16" s="15">
        <v>0</v>
      </c>
      <c r="V16" s="15">
        <v>0</v>
      </c>
      <c r="W16" s="15">
        <v>565964</v>
      </c>
      <c r="X16" s="15">
        <v>115000</v>
      </c>
      <c r="Y16" s="15">
        <v>164730</v>
      </c>
      <c r="Z16" s="15">
        <v>164518</v>
      </c>
      <c r="AA16" s="15">
        <v>300000</v>
      </c>
      <c r="AB16" s="13"/>
      <c r="AC16" s="13"/>
      <c r="AD16" s="13"/>
      <c r="AE16" s="13"/>
      <c r="AF16" s="13"/>
      <c r="AG16" s="13"/>
      <c r="AH16" s="13"/>
      <c r="AI16" s="15"/>
      <c r="AJ16" s="15"/>
      <c r="AK16" s="15"/>
      <c r="AL16" s="15"/>
      <c r="AM16" s="15"/>
      <c r="AN16" s="15"/>
      <c r="AO16" s="15"/>
      <c r="AP16" s="15"/>
      <c r="AQ16" s="257"/>
      <c r="AR16" s="191"/>
      <c r="AS16" s="17"/>
      <c r="AT16" s="132"/>
      <c r="AU16" s="11"/>
      <c r="AV16" s="11"/>
      <c r="AW16" s="11"/>
      <c r="AX16" s="11"/>
      <c r="AY16" s="11"/>
      <c r="AZ16" s="11"/>
      <c r="BA16" s="11"/>
      <c r="BB16" s="11"/>
    </row>
    <row r="17" spans="8:43" s="91" customFormat="1" ht="13.5" x14ac:dyDescent="0.25">
      <c r="AQ17" s="224"/>
    </row>
    <row r="18" spans="8:43" s="91" customFormat="1" ht="13.5" x14ac:dyDescent="0.25">
      <c r="AQ18" s="224"/>
    </row>
    <row r="19" spans="8:43" s="91" customFormat="1" ht="13.5" x14ac:dyDescent="0.25">
      <c r="AQ19" s="224"/>
    </row>
    <row r="20" spans="8:43" s="91" customFormat="1" ht="13.5" x14ac:dyDescent="0.25">
      <c r="H20" s="91" t="s">
        <v>216</v>
      </c>
      <c r="AQ20" s="224"/>
    </row>
    <row r="21" spans="8:43" s="91" customFormat="1" ht="13.5" x14ac:dyDescent="0.25">
      <c r="H21" s="91" t="s">
        <v>226</v>
      </c>
      <c r="AQ21" s="224"/>
    </row>
    <row r="22" spans="8:43" s="91" customFormat="1" ht="13.5" x14ac:dyDescent="0.25">
      <c r="AQ22" s="224"/>
    </row>
    <row r="23" spans="8:43" s="91" customFormat="1" ht="13.5" x14ac:dyDescent="0.25">
      <c r="AQ23" s="224"/>
    </row>
    <row r="24" spans="8:43" s="91" customFormat="1" ht="13.5" x14ac:dyDescent="0.25">
      <c r="AQ24" s="224"/>
    </row>
    <row r="25" spans="8:43" s="91" customFormat="1" ht="13.5" x14ac:dyDescent="0.25">
      <c r="AQ25" s="224"/>
    </row>
    <row r="26" spans="8:43" s="91" customFormat="1" ht="13.5" x14ac:dyDescent="0.25">
      <c r="AQ26" s="224"/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  <ignoredErrors>
    <ignoredError sqref="AF11:AF12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BB29"/>
  <sheetViews>
    <sheetView topLeftCell="I10" zoomScale="85" zoomScaleNormal="85" workbookViewId="0">
      <selection activeCell="AP1" sqref="AP1:AS1048576"/>
    </sheetView>
  </sheetViews>
  <sheetFormatPr baseColWidth="10" defaultRowHeight="17.25" x14ac:dyDescent="0.3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style="141" customWidth="1"/>
    <col min="16" max="28" width="13.7109375" style="141" hidden="1" customWidth="1"/>
    <col min="29" max="32" width="13.7109375" style="141" customWidth="1"/>
    <col min="33" max="33" width="12.7109375" style="141" customWidth="1"/>
    <col min="34" max="45" width="13.7109375" style="141" hidden="1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</cols>
  <sheetData>
    <row r="1" spans="1:54" ht="15" customHeight="1" x14ac:dyDescent="0.3">
      <c r="A1" s="32" t="s">
        <v>49</v>
      </c>
    </row>
    <row r="2" spans="1:54" ht="15" customHeight="1" x14ac:dyDescent="0.3">
      <c r="A2" s="32" t="s">
        <v>50</v>
      </c>
    </row>
    <row r="3" spans="1:54" ht="15" customHeight="1" x14ac:dyDescent="0.3">
      <c r="A3" s="32" t="str">
        <f>+'214. UDEVIPO'!A3</f>
        <v>EJERCICIO FISCAL 2022 - ACTUALIZADA DICIEMBRE</v>
      </c>
    </row>
    <row r="4" spans="1:54" ht="15" customHeight="1" thickBot="1" x14ac:dyDescent="0.35"/>
    <row r="5" spans="1:54" s="91" customFormat="1" ht="15" x14ac:dyDescent="0.25">
      <c r="A5" s="333" t="s">
        <v>190</v>
      </c>
      <c r="B5" s="334"/>
      <c r="C5" s="334"/>
      <c r="D5" s="334"/>
      <c r="E5" s="334"/>
      <c r="F5" s="334"/>
      <c r="G5" s="334"/>
      <c r="H5" s="334"/>
      <c r="I5" s="334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29" t="s">
        <v>2</v>
      </c>
      <c r="AC5" s="329"/>
      <c r="AD5" s="329"/>
      <c r="AE5" s="329"/>
      <c r="AF5" s="329"/>
      <c r="AG5" s="330"/>
      <c r="AH5" s="15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0"/>
      <c r="AU5" s="326" t="s">
        <v>51</v>
      </c>
      <c r="AV5" s="326"/>
      <c r="AW5" s="326" t="s">
        <v>52</v>
      </c>
      <c r="AX5" s="326"/>
      <c r="AY5" s="326" t="s">
        <v>53</v>
      </c>
      <c r="AZ5" s="326"/>
      <c r="BA5" s="326" t="s">
        <v>55</v>
      </c>
      <c r="BB5" s="326"/>
    </row>
    <row r="6" spans="1:54" s="107" customFormat="1" ht="36.75" thickBot="1" x14ac:dyDescent="0.3">
      <c r="A6" s="238" t="s">
        <v>3</v>
      </c>
      <c r="B6" s="229" t="s">
        <v>4</v>
      </c>
      <c r="C6" s="229" t="s">
        <v>5</v>
      </c>
      <c r="D6" s="229" t="s">
        <v>6</v>
      </c>
      <c r="E6" s="229" t="s">
        <v>7</v>
      </c>
      <c r="F6" s="229" t="s">
        <v>8</v>
      </c>
      <c r="G6" s="229" t="s">
        <v>9</v>
      </c>
      <c r="H6" s="230" t="s">
        <v>10</v>
      </c>
      <c r="I6" s="231" t="s">
        <v>11</v>
      </c>
      <c r="J6" s="232" t="s">
        <v>12</v>
      </c>
      <c r="K6" s="232" t="s">
        <v>65</v>
      </c>
      <c r="L6" s="232" t="s">
        <v>13</v>
      </c>
      <c r="M6" s="232" t="s">
        <v>14</v>
      </c>
      <c r="N6" s="233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3" t="s">
        <v>22</v>
      </c>
      <c r="V6" s="233" t="s">
        <v>23</v>
      </c>
      <c r="W6" s="233" t="s">
        <v>24</v>
      </c>
      <c r="X6" s="233" t="s">
        <v>25</v>
      </c>
      <c r="Y6" s="233" t="s">
        <v>26</v>
      </c>
      <c r="Z6" s="233" t="s">
        <v>27</v>
      </c>
      <c r="AA6" s="233" t="s">
        <v>28</v>
      </c>
      <c r="AB6" s="232" t="s">
        <v>12</v>
      </c>
      <c r="AC6" s="232" t="s">
        <v>65</v>
      </c>
      <c r="AD6" s="232" t="s">
        <v>13</v>
      </c>
      <c r="AE6" s="232" t="s">
        <v>14</v>
      </c>
      <c r="AF6" s="233" t="s">
        <v>15</v>
      </c>
      <c r="AG6" s="239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2"/>
      <c r="AU6" s="68" t="s">
        <v>54</v>
      </c>
      <c r="AV6" s="68" t="s">
        <v>2</v>
      </c>
      <c r="AW6" s="68" t="s">
        <v>54</v>
      </c>
      <c r="AX6" s="68" t="s">
        <v>2</v>
      </c>
      <c r="AY6" s="68" t="s">
        <v>54</v>
      </c>
      <c r="AZ6" s="68" t="s">
        <v>2</v>
      </c>
      <c r="BA6" s="68" t="s">
        <v>54</v>
      </c>
      <c r="BB6" s="68" t="s">
        <v>2</v>
      </c>
    </row>
    <row r="7" spans="1:54" s="111" customFormat="1" ht="30" x14ac:dyDescent="0.25">
      <c r="A7" s="4"/>
      <c r="B7" s="5">
        <v>18</v>
      </c>
      <c r="C7" s="5"/>
      <c r="D7" s="5"/>
      <c r="E7" s="5"/>
      <c r="F7" s="5"/>
      <c r="G7" s="5"/>
      <c r="H7" s="53" t="s">
        <v>191</v>
      </c>
      <c r="I7" s="199"/>
      <c r="J7" s="140"/>
      <c r="K7" s="140"/>
      <c r="L7" s="14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  <c r="AF7" s="11"/>
      <c r="AG7" s="16"/>
      <c r="AH7" s="189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32"/>
      <c r="AU7" s="11"/>
      <c r="AV7" s="11"/>
      <c r="AW7" s="11"/>
      <c r="AX7" s="11"/>
      <c r="AY7" s="11"/>
      <c r="AZ7" s="11"/>
      <c r="BA7" s="11"/>
      <c r="BB7" s="11"/>
    </row>
    <row r="8" spans="1:54" s="111" customFormat="1" ht="15" x14ac:dyDescent="0.25">
      <c r="A8" s="4"/>
      <c r="B8" s="5"/>
      <c r="C8" s="5">
        <v>0</v>
      </c>
      <c r="D8" s="5"/>
      <c r="E8" s="5"/>
      <c r="F8" s="5"/>
      <c r="G8" s="5"/>
      <c r="H8" s="53" t="s">
        <v>30</v>
      </c>
      <c r="I8" s="19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6"/>
      <c r="AH8" s="190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32"/>
      <c r="AU8" s="11"/>
      <c r="AV8" s="11"/>
      <c r="AW8" s="11"/>
      <c r="AX8" s="11"/>
      <c r="AY8" s="11"/>
      <c r="AZ8" s="11"/>
      <c r="BA8" s="11"/>
      <c r="BB8" s="11"/>
    </row>
    <row r="9" spans="1:54" s="111" customFormat="1" ht="15" x14ac:dyDescent="0.25">
      <c r="A9" s="4"/>
      <c r="B9" s="5"/>
      <c r="C9" s="5"/>
      <c r="D9" s="5">
        <v>0</v>
      </c>
      <c r="E9" s="5"/>
      <c r="F9" s="5"/>
      <c r="G9" s="5"/>
      <c r="H9" s="53" t="s">
        <v>31</v>
      </c>
      <c r="I9" s="19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6"/>
      <c r="AH9" s="190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32"/>
      <c r="AU9" s="11"/>
      <c r="AV9" s="11"/>
      <c r="AW9" s="11"/>
      <c r="AX9" s="11"/>
      <c r="AY9" s="11"/>
      <c r="AZ9" s="11"/>
      <c r="BA9" s="11"/>
      <c r="BB9" s="11"/>
    </row>
    <row r="10" spans="1:54" s="111" customFormat="1" ht="15" x14ac:dyDescent="0.25">
      <c r="A10" s="4"/>
      <c r="B10" s="5"/>
      <c r="C10" s="5"/>
      <c r="D10" s="5"/>
      <c r="E10" s="5">
        <v>1</v>
      </c>
      <c r="F10" s="5">
        <v>0</v>
      </c>
      <c r="G10" s="5"/>
      <c r="H10" s="53" t="s">
        <v>59</v>
      </c>
      <c r="I10" s="19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>
        <v>23206037.580000002</v>
      </c>
      <c r="AC10" s="9">
        <v>9765053</v>
      </c>
      <c r="AD10" s="9">
        <v>9765053</v>
      </c>
      <c r="AE10" s="9">
        <v>9584449</v>
      </c>
      <c r="AF10" s="9">
        <v>9255248.1600000001</v>
      </c>
      <c r="AG10" s="10">
        <f>+AS10</f>
        <v>771958.69</v>
      </c>
      <c r="AH10" s="190">
        <v>159598.01999999999</v>
      </c>
      <c r="AI10" s="11">
        <v>1196157.21</v>
      </c>
      <c r="AJ10" s="11">
        <v>680541.12</v>
      </c>
      <c r="AK10" s="11">
        <v>681577.15</v>
      </c>
      <c r="AL10" s="11">
        <v>686272.65</v>
      </c>
      <c r="AM10" s="11">
        <v>674909.2</v>
      </c>
      <c r="AN10" s="11">
        <v>1918338.22</v>
      </c>
      <c r="AO10" s="11">
        <v>493022.51</v>
      </c>
      <c r="AP10" s="11">
        <v>168397.52</v>
      </c>
      <c r="AQ10" s="11">
        <v>695290.02</v>
      </c>
      <c r="AR10" s="11">
        <v>610811.80000000005</v>
      </c>
      <c r="AS10" s="16">
        <v>771958.69</v>
      </c>
      <c r="AT10" s="132"/>
      <c r="AU10" s="9">
        <v>72</v>
      </c>
      <c r="AV10" s="9">
        <v>23902218.707400002</v>
      </c>
      <c r="AW10" s="9">
        <v>72</v>
      </c>
      <c r="AX10" s="9">
        <v>24619285.268622007</v>
      </c>
      <c r="AY10" s="9">
        <v>72</v>
      </c>
      <c r="AZ10" s="9">
        <v>25357863.826680653</v>
      </c>
      <c r="BA10" s="9">
        <v>72</v>
      </c>
      <c r="BB10" s="9">
        <v>26118599.741481084</v>
      </c>
    </row>
    <row r="11" spans="1:54" s="111" customFormat="1" ht="15" x14ac:dyDescent="0.25">
      <c r="A11" s="4">
        <v>4</v>
      </c>
      <c r="B11" s="5"/>
      <c r="C11" s="5"/>
      <c r="D11" s="5"/>
      <c r="E11" s="5"/>
      <c r="F11" s="5"/>
      <c r="G11" s="5">
        <v>1</v>
      </c>
      <c r="H11" s="53" t="s">
        <v>60</v>
      </c>
      <c r="I11" s="237" t="s">
        <v>34</v>
      </c>
      <c r="J11" s="9">
        <f>J12</f>
        <v>72</v>
      </c>
      <c r="K11" s="9">
        <f>K12</f>
        <v>686</v>
      </c>
      <c r="L11" s="9">
        <f>L12</f>
        <v>686</v>
      </c>
      <c r="M11" s="9">
        <f>M12</f>
        <v>32</v>
      </c>
      <c r="N11" s="9">
        <f>SUM(P11:AA11)</f>
        <v>32</v>
      </c>
      <c r="O11" s="9">
        <f>+AA11</f>
        <v>2</v>
      </c>
      <c r="P11" s="9">
        <f t="shared" ref="P11:AA11" si="0">+P12</f>
        <v>0</v>
      </c>
      <c r="Q11" s="9">
        <f t="shared" si="0"/>
        <v>2</v>
      </c>
      <c r="R11" s="9">
        <f t="shared" si="0"/>
        <v>2</v>
      </c>
      <c r="S11" s="9">
        <f t="shared" si="0"/>
        <v>2</v>
      </c>
      <c r="T11" s="9">
        <f t="shared" si="0"/>
        <v>2</v>
      </c>
      <c r="U11" s="9">
        <f>+U12</f>
        <v>3</v>
      </c>
      <c r="V11" s="9">
        <f t="shared" si="0"/>
        <v>3</v>
      </c>
      <c r="W11" s="9">
        <f t="shared" si="0"/>
        <v>3</v>
      </c>
      <c r="X11" s="9">
        <f t="shared" si="0"/>
        <v>3</v>
      </c>
      <c r="Y11" s="9">
        <v>2</v>
      </c>
      <c r="Z11" s="9">
        <v>8</v>
      </c>
      <c r="AA11" s="9">
        <f t="shared" si="0"/>
        <v>2</v>
      </c>
      <c r="AB11" s="9"/>
      <c r="AC11" s="9"/>
      <c r="AD11" s="9"/>
      <c r="AE11" s="9"/>
      <c r="AF11" s="9"/>
      <c r="AG11" s="10"/>
      <c r="AH11" s="160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132"/>
      <c r="AU11" s="9"/>
      <c r="AV11" s="9"/>
      <c r="AW11" s="9"/>
      <c r="AX11" s="9"/>
      <c r="AY11" s="9"/>
      <c r="AZ11" s="9"/>
      <c r="BA11" s="9"/>
      <c r="BB11" s="9"/>
    </row>
    <row r="12" spans="1:54" s="111" customFormat="1" ht="15" x14ac:dyDescent="0.25">
      <c r="A12" s="4"/>
      <c r="B12" s="5"/>
      <c r="C12" s="5"/>
      <c r="D12" s="5"/>
      <c r="E12" s="5"/>
      <c r="F12" s="5"/>
      <c r="G12" s="6">
        <v>2</v>
      </c>
      <c r="H12" s="110" t="s">
        <v>60</v>
      </c>
      <c r="I12" s="199" t="s">
        <v>34</v>
      </c>
      <c r="J12" s="11">
        <v>72</v>
      </c>
      <c r="K12" s="11">
        <v>686</v>
      </c>
      <c r="L12" s="11">
        <v>686</v>
      </c>
      <c r="M12" s="11">
        <v>32</v>
      </c>
      <c r="N12" s="11">
        <f>SUM(P12:AA12)</f>
        <v>32</v>
      </c>
      <c r="O12" s="11">
        <f>+AA12</f>
        <v>2</v>
      </c>
      <c r="P12" s="11">
        <v>0</v>
      </c>
      <c r="Q12" s="11">
        <v>2</v>
      </c>
      <c r="R12" s="11">
        <v>2</v>
      </c>
      <c r="S12" s="11">
        <v>2</v>
      </c>
      <c r="T12" s="11">
        <v>2</v>
      </c>
      <c r="U12" s="11">
        <v>3</v>
      </c>
      <c r="V12" s="11">
        <v>3</v>
      </c>
      <c r="W12" s="11">
        <v>3</v>
      </c>
      <c r="X12" s="11">
        <v>3</v>
      </c>
      <c r="Y12" s="11">
        <v>2</v>
      </c>
      <c r="Z12" s="11">
        <v>8</v>
      </c>
      <c r="AA12" s="11">
        <v>2</v>
      </c>
      <c r="AB12" s="9"/>
      <c r="AC12" s="9"/>
      <c r="AD12" s="9"/>
      <c r="AE12" s="9"/>
      <c r="AF12" s="9"/>
      <c r="AG12" s="10"/>
      <c r="AH12" s="160"/>
      <c r="AI12" s="9"/>
      <c r="AJ12" s="9"/>
      <c r="AK12" s="11"/>
      <c r="AL12" s="9"/>
      <c r="AM12" s="11"/>
      <c r="AN12" s="11"/>
      <c r="AO12" s="11"/>
      <c r="AP12" s="11"/>
      <c r="AQ12" s="11"/>
      <c r="AR12" s="11"/>
      <c r="AS12" s="16"/>
      <c r="AT12" s="132"/>
      <c r="AU12" s="11"/>
      <c r="AV12" s="11"/>
      <c r="AW12" s="11"/>
      <c r="AX12" s="11"/>
      <c r="AY12" s="11"/>
      <c r="AZ12" s="11"/>
      <c r="BA12" s="11"/>
      <c r="BB12" s="11"/>
    </row>
    <row r="13" spans="1:54" s="111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3" t="s">
        <v>192</v>
      </c>
      <c r="I13" s="19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53938592.796666667</v>
      </c>
      <c r="AC13" s="9">
        <v>40234947</v>
      </c>
      <c r="AD13" s="9">
        <v>40234947</v>
      </c>
      <c r="AE13" s="9">
        <v>34863779</v>
      </c>
      <c r="AF13" s="9">
        <v>33857978.579999998</v>
      </c>
      <c r="AG13" s="10">
        <f>+AS13</f>
        <v>2742076.05</v>
      </c>
      <c r="AH13" s="190">
        <v>585747</v>
      </c>
      <c r="AI13" s="11">
        <v>4905768.4800000004</v>
      </c>
      <c r="AJ13" s="11">
        <v>2651031.42</v>
      </c>
      <c r="AK13" s="11">
        <v>2611645.4500000002</v>
      </c>
      <c r="AL13" s="11">
        <v>2632243.58</v>
      </c>
      <c r="AM13" s="11">
        <v>1111959.92</v>
      </c>
      <c r="AN13" s="11">
        <v>1649823.89</v>
      </c>
      <c r="AO13" s="11">
        <v>157808.63</v>
      </c>
      <c r="AP13" s="11">
        <v>798351.57</v>
      </c>
      <c r="AQ13" s="11">
        <v>2585752.25</v>
      </c>
      <c r="AR13" s="11">
        <v>2838127.92</v>
      </c>
      <c r="AS13" s="16">
        <v>2742076.05</v>
      </c>
      <c r="AT13" s="132"/>
      <c r="AU13" s="9">
        <v>399451.65</v>
      </c>
      <c r="AV13" s="9">
        <v>55556760.894299984</v>
      </c>
      <c r="AW13" s="9">
        <v>409957.22839500004</v>
      </c>
      <c r="AX13" s="9">
        <v>57223463.721128985</v>
      </c>
      <c r="AY13" s="9">
        <v>420452.13344191195</v>
      </c>
      <c r="AZ13" s="9">
        <v>58940167.632762834</v>
      </c>
      <c r="BA13" s="9">
        <v>430963.43677795969</v>
      </c>
      <c r="BB13" s="9">
        <v>60708372.661745742</v>
      </c>
    </row>
    <row r="14" spans="1:54" s="111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3" t="s">
        <v>193</v>
      </c>
      <c r="I14" s="237" t="s">
        <v>101</v>
      </c>
      <c r="J14" s="9">
        <f>J15+J16+J17+J19</f>
        <v>388950</v>
      </c>
      <c r="K14" s="9">
        <f>K15+K16+K17+K19</f>
        <v>303702</v>
      </c>
      <c r="L14" s="9">
        <f>L15+L16+L17+L19</f>
        <v>303702</v>
      </c>
      <c r="M14" s="9">
        <f>M15+M16+M17+M19</f>
        <v>290100</v>
      </c>
      <c r="N14" s="9">
        <f>SUM(P14:AA14)</f>
        <v>288198</v>
      </c>
      <c r="O14" s="9">
        <f t="shared" ref="O14:O21" si="1">+AA14</f>
        <v>29000</v>
      </c>
      <c r="P14" s="9">
        <f>P15+P16+P17+P19</f>
        <v>0</v>
      </c>
      <c r="Q14" s="9">
        <f>Q15+Q16+Q17+Q19</f>
        <v>19298</v>
      </c>
      <c r="R14" s="9">
        <f>R15+R16+R17+R19</f>
        <v>19334</v>
      </c>
      <c r="S14" s="9">
        <f>S15+S16+S17+S19</f>
        <v>19403</v>
      </c>
      <c r="T14" s="9">
        <f>T15+T16+T17+T19</f>
        <v>29000</v>
      </c>
      <c r="U14" s="9">
        <v>27327</v>
      </c>
      <c r="V14" s="9">
        <f t="shared" ref="V14:W14" si="2">V15+V16+V17+V19</f>
        <v>29000</v>
      </c>
      <c r="W14" s="9">
        <f t="shared" si="2"/>
        <v>29000</v>
      </c>
      <c r="X14" s="9">
        <v>29000</v>
      </c>
      <c r="Y14" s="9">
        <v>28836</v>
      </c>
      <c r="Z14" s="9">
        <v>29000</v>
      </c>
      <c r="AA14" s="9">
        <v>29000</v>
      </c>
      <c r="AB14" s="11"/>
      <c r="AC14" s="11"/>
      <c r="AD14" s="11"/>
      <c r="AE14" s="11"/>
      <c r="AF14" s="11"/>
      <c r="AG14" s="16"/>
      <c r="AH14" s="190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132"/>
      <c r="AU14" s="9"/>
      <c r="AV14" s="112"/>
      <c r="AW14" s="9"/>
      <c r="AX14" s="112"/>
      <c r="AY14" s="9"/>
      <c r="AZ14" s="112"/>
      <c r="BA14" s="9"/>
      <c r="BB14" s="112"/>
    </row>
    <row r="15" spans="1:54" s="111" customFormat="1" ht="27" x14ac:dyDescent="0.25">
      <c r="A15" s="59"/>
      <c r="B15" s="6"/>
      <c r="C15" s="6"/>
      <c r="D15" s="6"/>
      <c r="E15" s="6"/>
      <c r="F15" s="6"/>
      <c r="G15" s="6">
        <v>2</v>
      </c>
      <c r="H15" s="110" t="s">
        <v>197</v>
      </c>
      <c r="I15" s="199" t="s">
        <v>101</v>
      </c>
      <c r="J15" s="11">
        <v>18950</v>
      </c>
      <c r="K15" s="11">
        <v>22000</v>
      </c>
      <c r="L15" s="11">
        <v>22000</v>
      </c>
      <c r="M15" s="11">
        <v>8400</v>
      </c>
      <c r="N15" s="11">
        <f>6556+O15+AA15</f>
        <v>8236</v>
      </c>
      <c r="O15" s="9">
        <f t="shared" si="1"/>
        <v>840</v>
      </c>
      <c r="P15" s="11">
        <v>0</v>
      </c>
      <c r="Q15" s="11">
        <v>525</v>
      </c>
      <c r="R15" s="11">
        <v>525</v>
      </c>
      <c r="S15" s="11">
        <v>630</v>
      </c>
      <c r="T15" s="11">
        <v>840</v>
      </c>
      <c r="U15" s="11">
        <v>840</v>
      </c>
      <c r="V15" s="11">
        <v>840</v>
      </c>
      <c r="W15" s="11">
        <v>840</v>
      </c>
      <c r="X15" s="11">
        <v>0</v>
      </c>
      <c r="Y15" s="11">
        <v>676</v>
      </c>
      <c r="Z15" s="11">
        <v>840</v>
      </c>
      <c r="AA15" s="11">
        <v>840</v>
      </c>
      <c r="AB15" s="11"/>
      <c r="AC15" s="11"/>
      <c r="AD15" s="11"/>
      <c r="AE15" s="11"/>
      <c r="AF15" s="11"/>
      <c r="AG15" s="16"/>
      <c r="AH15" s="190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6"/>
      <c r="AT15" s="132"/>
      <c r="AU15" s="11"/>
      <c r="AV15" s="114"/>
      <c r="AW15" s="11"/>
      <c r="AX15" s="114"/>
      <c r="AY15" s="11"/>
      <c r="AZ15" s="114"/>
      <c r="BA15" s="11"/>
      <c r="BB15" s="114"/>
    </row>
    <row r="16" spans="1:54" s="111" customFormat="1" ht="27" x14ac:dyDescent="0.25">
      <c r="A16" s="59"/>
      <c r="B16" s="6"/>
      <c r="C16" s="6"/>
      <c r="D16" s="6"/>
      <c r="E16" s="6"/>
      <c r="F16" s="6"/>
      <c r="G16" s="6">
        <v>3</v>
      </c>
      <c r="H16" s="110" t="s">
        <v>198</v>
      </c>
      <c r="I16" s="199" t="s">
        <v>101</v>
      </c>
      <c r="J16" s="11">
        <v>530</v>
      </c>
      <c r="K16" s="11">
        <v>102</v>
      </c>
      <c r="L16" s="11">
        <v>102</v>
      </c>
      <c r="M16" s="11">
        <v>100</v>
      </c>
      <c r="N16" s="11">
        <f t="shared" ref="N16:N21" si="3">+SUM(P16:AA16)</f>
        <v>35</v>
      </c>
      <c r="O16" s="9">
        <f t="shared" si="1"/>
        <v>0</v>
      </c>
      <c r="P16" s="11">
        <v>0</v>
      </c>
      <c r="Q16" s="11">
        <v>0</v>
      </c>
      <c r="R16" s="11">
        <v>35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/>
      <c r="AC16" s="11"/>
      <c r="AD16" s="11"/>
      <c r="AE16" s="11"/>
      <c r="AF16" s="11"/>
      <c r="AG16" s="16"/>
      <c r="AH16" s="190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6"/>
      <c r="AT16" s="132"/>
      <c r="AU16" s="11"/>
      <c r="AV16" s="114"/>
      <c r="AW16" s="11"/>
      <c r="AX16" s="114"/>
      <c r="AY16" s="11"/>
      <c r="AZ16" s="114"/>
      <c r="BA16" s="11"/>
      <c r="BB16" s="114"/>
    </row>
    <row r="17" spans="1:54" s="111" customFormat="1" ht="27" x14ac:dyDescent="0.25">
      <c r="A17" s="4"/>
      <c r="B17" s="5"/>
      <c r="C17" s="5"/>
      <c r="D17" s="5"/>
      <c r="E17" s="5"/>
      <c r="F17" s="5"/>
      <c r="G17" s="6">
        <v>4</v>
      </c>
      <c r="H17" s="110" t="s">
        <v>199</v>
      </c>
      <c r="I17" s="199" t="s">
        <v>101</v>
      </c>
      <c r="J17" s="11">
        <v>36041</v>
      </c>
      <c r="K17" s="11">
        <v>61600</v>
      </c>
      <c r="L17" s="11">
        <v>61600</v>
      </c>
      <c r="M17" s="11">
        <v>61600</v>
      </c>
      <c r="N17" s="11">
        <f>53767+AA17</f>
        <v>59927</v>
      </c>
      <c r="O17" s="9">
        <f t="shared" si="1"/>
        <v>6160</v>
      </c>
      <c r="P17" s="11">
        <v>0</v>
      </c>
      <c r="Q17" s="11">
        <v>4107</v>
      </c>
      <c r="R17" s="11">
        <v>4107</v>
      </c>
      <c r="S17" s="11">
        <v>4106</v>
      </c>
      <c r="T17" s="11">
        <v>6160</v>
      </c>
      <c r="U17" s="11">
        <v>4487</v>
      </c>
      <c r="V17" s="11">
        <v>6160</v>
      </c>
      <c r="W17" s="11">
        <v>6160</v>
      </c>
      <c r="X17" s="11">
        <v>6160</v>
      </c>
      <c r="Y17" s="11">
        <v>6160</v>
      </c>
      <c r="Z17" s="11">
        <v>160</v>
      </c>
      <c r="AA17" s="11">
        <v>6160</v>
      </c>
      <c r="AB17" s="11"/>
      <c r="AC17" s="11"/>
      <c r="AD17" s="11"/>
      <c r="AE17" s="11"/>
      <c r="AF17" s="11"/>
      <c r="AG17" s="16"/>
      <c r="AH17" s="190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6"/>
      <c r="AT17" s="132"/>
      <c r="AU17" s="11"/>
      <c r="AV17" s="11"/>
      <c r="AW17" s="11"/>
      <c r="AX17" s="11"/>
      <c r="AY17" s="11"/>
      <c r="AZ17" s="11"/>
      <c r="BA17" s="11"/>
      <c r="BB17" s="11"/>
    </row>
    <row r="18" spans="1:54" s="111" customFormat="1" ht="27" x14ac:dyDescent="0.25">
      <c r="A18" s="4"/>
      <c r="B18" s="5"/>
      <c r="C18" s="5"/>
      <c r="D18" s="5"/>
      <c r="E18" s="5"/>
      <c r="F18" s="5"/>
      <c r="G18" s="6">
        <v>5</v>
      </c>
      <c r="H18" s="110" t="s">
        <v>194</v>
      </c>
      <c r="I18" s="199" t="s">
        <v>34</v>
      </c>
      <c r="J18" s="11">
        <v>13138</v>
      </c>
      <c r="K18" s="11">
        <v>7343</v>
      </c>
      <c r="L18" s="11">
        <v>7343</v>
      </c>
      <c r="M18" s="11">
        <v>7344</v>
      </c>
      <c r="N18" s="11">
        <f t="shared" si="3"/>
        <v>7344</v>
      </c>
      <c r="O18" s="9">
        <f t="shared" si="1"/>
        <v>734</v>
      </c>
      <c r="P18" s="11">
        <v>0</v>
      </c>
      <c r="Q18" s="11">
        <v>489</v>
      </c>
      <c r="R18" s="11">
        <v>490</v>
      </c>
      <c r="S18" s="11">
        <v>490</v>
      </c>
      <c r="T18" s="11">
        <v>734</v>
      </c>
      <c r="U18" s="11">
        <v>734</v>
      </c>
      <c r="V18" s="11">
        <v>735</v>
      </c>
      <c r="W18" s="11">
        <v>735</v>
      </c>
      <c r="X18" s="11">
        <v>734</v>
      </c>
      <c r="Y18" s="11">
        <v>734</v>
      </c>
      <c r="Z18" s="11">
        <v>735</v>
      </c>
      <c r="AA18" s="11">
        <v>734</v>
      </c>
      <c r="AB18" s="11"/>
      <c r="AC18" s="11"/>
      <c r="AD18" s="11"/>
      <c r="AE18" s="11"/>
      <c r="AF18" s="11"/>
      <c r="AG18" s="16"/>
      <c r="AH18" s="190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6"/>
      <c r="AT18" s="132"/>
      <c r="AU18" s="11"/>
      <c r="AV18" s="11"/>
      <c r="AW18" s="11"/>
      <c r="AX18" s="11"/>
      <c r="AY18" s="11"/>
      <c r="AZ18" s="11"/>
      <c r="BA18" s="11"/>
      <c r="BB18" s="11"/>
    </row>
    <row r="19" spans="1:54" s="111" customFormat="1" ht="27" x14ac:dyDescent="0.25">
      <c r="A19" s="4"/>
      <c r="B19" s="5"/>
      <c r="C19" s="5"/>
      <c r="D19" s="5"/>
      <c r="E19" s="5"/>
      <c r="F19" s="5"/>
      <c r="G19" s="6">
        <v>6</v>
      </c>
      <c r="H19" s="110" t="s">
        <v>195</v>
      </c>
      <c r="I19" s="199" t="s">
        <v>101</v>
      </c>
      <c r="J19" s="11">
        <v>333429</v>
      </c>
      <c r="K19" s="11">
        <v>220000</v>
      </c>
      <c r="L19" s="11">
        <v>220000</v>
      </c>
      <c r="M19" s="11">
        <v>220000</v>
      </c>
      <c r="N19" s="11">
        <f t="shared" si="3"/>
        <v>220000</v>
      </c>
      <c r="O19" s="9">
        <f t="shared" si="1"/>
        <v>22000</v>
      </c>
      <c r="P19" s="11">
        <v>0</v>
      </c>
      <c r="Q19" s="11">
        <v>14666</v>
      </c>
      <c r="R19" s="11">
        <v>14667</v>
      </c>
      <c r="S19" s="11">
        <v>14667</v>
      </c>
      <c r="T19" s="11">
        <v>22000</v>
      </c>
      <c r="U19" s="11">
        <v>22000</v>
      </c>
      <c r="V19" s="11">
        <v>22000</v>
      </c>
      <c r="W19" s="11">
        <v>22000</v>
      </c>
      <c r="X19" s="11">
        <v>22000</v>
      </c>
      <c r="Y19" s="11">
        <v>22000</v>
      </c>
      <c r="Z19" s="11">
        <v>22000</v>
      </c>
      <c r="AA19" s="11">
        <v>22000</v>
      </c>
      <c r="AB19" s="11"/>
      <c r="AC19" s="11"/>
      <c r="AD19" s="11"/>
      <c r="AE19" s="11"/>
      <c r="AF19" s="11"/>
      <c r="AG19" s="16"/>
      <c r="AH19" s="190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6"/>
      <c r="AT19" s="132"/>
      <c r="AU19" s="11"/>
      <c r="AV19" s="11"/>
      <c r="AW19" s="11"/>
      <c r="AX19" s="11"/>
      <c r="AY19" s="11"/>
      <c r="AZ19" s="11"/>
      <c r="BA19" s="11"/>
      <c r="BB19" s="11"/>
    </row>
    <row r="20" spans="1:54" s="111" customFormat="1" ht="27" x14ac:dyDescent="0.25">
      <c r="A20" s="4"/>
      <c r="B20" s="5"/>
      <c r="C20" s="5"/>
      <c r="D20" s="5"/>
      <c r="E20" s="5"/>
      <c r="F20" s="5"/>
      <c r="G20" s="6">
        <v>7</v>
      </c>
      <c r="H20" s="110" t="s">
        <v>196</v>
      </c>
      <c r="I20" s="199" t="s">
        <v>64</v>
      </c>
      <c r="J20" s="11">
        <v>3783</v>
      </c>
      <c r="K20" s="11">
        <v>3080</v>
      </c>
      <c r="L20" s="11">
        <v>3080</v>
      </c>
      <c r="M20" s="11">
        <v>3080</v>
      </c>
      <c r="N20" s="11">
        <f t="shared" si="3"/>
        <v>2608</v>
      </c>
      <c r="O20" s="9">
        <f t="shared" si="1"/>
        <v>308</v>
      </c>
      <c r="P20" s="11">
        <v>0</v>
      </c>
      <c r="Q20" s="11">
        <v>205</v>
      </c>
      <c r="R20" s="11">
        <v>205</v>
      </c>
      <c r="S20" s="11">
        <v>206</v>
      </c>
      <c r="T20" s="11">
        <v>308</v>
      </c>
      <c r="U20" s="11">
        <v>24</v>
      </c>
      <c r="V20" s="11">
        <v>120</v>
      </c>
      <c r="W20" s="11">
        <v>308</v>
      </c>
      <c r="X20" s="11">
        <v>308</v>
      </c>
      <c r="Y20" s="11">
        <v>308</v>
      </c>
      <c r="Z20" s="11">
        <v>308</v>
      </c>
      <c r="AA20" s="11">
        <v>308</v>
      </c>
      <c r="AB20" s="11"/>
      <c r="AC20" s="11"/>
      <c r="AD20" s="11"/>
      <c r="AE20" s="11"/>
      <c r="AF20" s="11"/>
      <c r="AG20" s="16"/>
      <c r="AH20" s="190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6"/>
      <c r="AT20" s="132"/>
      <c r="AU20" s="11"/>
      <c r="AV20" s="11"/>
      <c r="AW20" s="11"/>
      <c r="AX20" s="11"/>
      <c r="AY20" s="11"/>
      <c r="AZ20" s="11"/>
      <c r="BA20" s="11"/>
      <c r="BB20" s="11"/>
    </row>
    <row r="21" spans="1:54" s="111" customFormat="1" ht="27.75" thickBot="1" x14ac:dyDescent="0.3">
      <c r="A21" s="102"/>
      <c r="B21" s="109"/>
      <c r="C21" s="109"/>
      <c r="D21" s="109"/>
      <c r="E21" s="109"/>
      <c r="F21" s="109"/>
      <c r="G21" s="61">
        <v>8</v>
      </c>
      <c r="H21" s="62" t="s">
        <v>200</v>
      </c>
      <c r="I21" s="241" t="s">
        <v>34</v>
      </c>
      <c r="J21" s="15">
        <v>75</v>
      </c>
      <c r="K21" s="15">
        <v>35</v>
      </c>
      <c r="L21" s="15">
        <v>35</v>
      </c>
      <c r="M21" s="15">
        <v>35</v>
      </c>
      <c r="N21" s="15">
        <f t="shared" si="3"/>
        <v>35</v>
      </c>
      <c r="O21" s="13">
        <f t="shared" si="1"/>
        <v>3</v>
      </c>
      <c r="P21" s="15">
        <v>0</v>
      </c>
      <c r="Q21" s="15">
        <v>1</v>
      </c>
      <c r="R21" s="15">
        <v>3</v>
      </c>
      <c r="S21" s="15">
        <v>3</v>
      </c>
      <c r="T21" s="15">
        <v>3</v>
      </c>
      <c r="U21" s="15">
        <v>3</v>
      </c>
      <c r="V21" s="15">
        <v>3</v>
      </c>
      <c r="W21" s="15">
        <v>4</v>
      </c>
      <c r="X21" s="15">
        <v>4</v>
      </c>
      <c r="Y21" s="15">
        <v>4</v>
      </c>
      <c r="Z21" s="15">
        <v>4</v>
      </c>
      <c r="AA21" s="15">
        <v>3</v>
      </c>
      <c r="AB21" s="15"/>
      <c r="AC21" s="15"/>
      <c r="AD21" s="15"/>
      <c r="AE21" s="15"/>
      <c r="AF21" s="15"/>
      <c r="AG21" s="17"/>
      <c r="AH21" s="191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7"/>
      <c r="AT21" s="132"/>
      <c r="AU21" s="11"/>
      <c r="AV21" s="11"/>
      <c r="AW21" s="11"/>
      <c r="AX21" s="11"/>
      <c r="AY21" s="11"/>
      <c r="AZ21" s="11"/>
      <c r="BA21" s="11"/>
      <c r="BB21" s="11"/>
    </row>
    <row r="22" spans="1:54" s="91" customFormat="1" ht="13.5" x14ac:dyDescent="0.25"/>
    <row r="23" spans="1:54" s="91" customFormat="1" ht="13.5" x14ac:dyDescent="0.25"/>
    <row r="24" spans="1:54" s="91" customFormat="1" ht="13.5" x14ac:dyDescent="0.25"/>
    <row r="25" spans="1:54" s="91" customFormat="1" ht="13.5" x14ac:dyDescent="0.25">
      <c r="H25" s="91" t="s">
        <v>216</v>
      </c>
    </row>
    <row r="26" spans="1:54" s="91" customFormat="1" ht="13.5" x14ac:dyDescent="0.25">
      <c r="H26" s="91" t="s">
        <v>228</v>
      </c>
    </row>
    <row r="27" spans="1:54" s="91" customFormat="1" ht="13.5" x14ac:dyDescent="0.25"/>
    <row r="28" spans="1:54" s="91" customFormat="1" x14ac:dyDescent="0.3"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</row>
    <row r="29" spans="1:54" s="91" customFormat="1" x14ac:dyDescent="0.3"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BB27"/>
  <sheetViews>
    <sheetView zoomScale="85" zoomScaleNormal="85"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AB14" sqref="AB14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4" width="13.7109375" style="211" customWidth="1"/>
    <col min="15" max="15" width="13.7109375" customWidth="1"/>
    <col min="16" max="25" width="13.7109375" hidden="1" customWidth="1"/>
    <col min="26" max="26" width="13.7109375" style="211" hidden="1" customWidth="1"/>
    <col min="27" max="27" width="13.7109375" hidden="1" customWidth="1"/>
    <col min="28" max="30" width="13.7109375" customWidth="1"/>
    <col min="31" max="31" width="17.5703125" style="211" customWidth="1"/>
    <col min="32" max="32" width="14.28515625" bestFit="1" customWidth="1"/>
    <col min="33" max="33" width="16.7109375" style="211" customWidth="1"/>
    <col min="34" max="43" width="13.7109375" hidden="1" customWidth="1"/>
    <col min="44" max="44" width="13.7109375" style="211" hidden="1" customWidth="1"/>
    <col min="45" max="45" width="13.7109375" hidden="1" customWidth="1"/>
    <col min="47" max="47" width="11.5703125" bestFit="1" customWidth="1"/>
    <col min="48" max="48" width="15" bestFit="1" customWidth="1"/>
    <col min="49" max="49" width="11.5703125" bestFit="1" customWidth="1"/>
    <col min="50" max="50" width="15" bestFit="1" customWidth="1"/>
    <col min="51" max="51" width="11.5703125" bestFit="1" customWidth="1"/>
    <col min="52" max="52" width="15" bestFit="1" customWidth="1"/>
    <col min="53" max="53" width="11.5703125" bestFit="1" customWidth="1"/>
    <col min="54" max="54" width="15" bestFit="1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+'216. PROVIAL'!A3</f>
        <v>EJERCICIO FISCAL 2022 - ACTUALIZADA DICIEMBRE</v>
      </c>
    </row>
    <row r="4" spans="1:54" ht="15" customHeight="1" thickBot="1" x14ac:dyDescent="0.3"/>
    <row r="5" spans="1:54" x14ac:dyDescent="0.25">
      <c r="A5" s="327" t="s">
        <v>201</v>
      </c>
      <c r="B5" s="328"/>
      <c r="C5" s="328"/>
      <c r="D5" s="328"/>
      <c r="E5" s="328"/>
      <c r="F5" s="328"/>
      <c r="G5" s="328"/>
      <c r="H5" s="328"/>
      <c r="I5" s="328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39"/>
      <c r="Z5" s="220"/>
      <c r="AA5" s="39"/>
      <c r="AB5" s="329" t="s">
        <v>2</v>
      </c>
      <c r="AC5" s="329"/>
      <c r="AD5" s="329"/>
      <c r="AE5" s="329"/>
      <c r="AF5" s="329"/>
      <c r="AG5" s="330"/>
      <c r="AH5" s="158"/>
      <c r="AI5" s="39"/>
      <c r="AJ5" s="39"/>
      <c r="AK5" s="39"/>
      <c r="AL5" s="39"/>
      <c r="AM5" s="39"/>
      <c r="AN5" s="39"/>
      <c r="AO5" s="39"/>
      <c r="AP5" s="39"/>
      <c r="AQ5" s="39"/>
      <c r="AR5" s="220"/>
      <c r="AS5" s="40"/>
      <c r="AT5" s="132"/>
      <c r="AU5" s="326" t="s">
        <v>51</v>
      </c>
      <c r="AV5" s="326"/>
      <c r="AW5" s="326" t="s">
        <v>52</v>
      </c>
      <c r="AX5" s="326"/>
      <c r="AY5" s="326" t="s">
        <v>53</v>
      </c>
      <c r="AZ5" s="326"/>
      <c r="BA5" s="326" t="s">
        <v>55</v>
      </c>
      <c r="BB5" s="326"/>
    </row>
    <row r="6" spans="1:54" s="7" customFormat="1" ht="36.75" thickBot="1" x14ac:dyDescent="0.25">
      <c r="A6" s="414" t="s">
        <v>3</v>
      </c>
      <c r="B6" s="415" t="s">
        <v>4</v>
      </c>
      <c r="C6" s="415" t="s">
        <v>5</v>
      </c>
      <c r="D6" s="415" t="s">
        <v>6</v>
      </c>
      <c r="E6" s="415" t="s">
        <v>7</v>
      </c>
      <c r="F6" s="415" t="s">
        <v>8</v>
      </c>
      <c r="G6" s="415" t="s">
        <v>9</v>
      </c>
      <c r="H6" s="416" t="s">
        <v>10</v>
      </c>
      <c r="I6" s="417" t="s">
        <v>11</v>
      </c>
      <c r="J6" s="296" t="s">
        <v>12</v>
      </c>
      <c r="K6" s="296" t="s">
        <v>65</v>
      </c>
      <c r="L6" s="296" t="s">
        <v>13</v>
      </c>
      <c r="M6" s="296" t="s">
        <v>14</v>
      </c>
      <c r="N6" s="418" t="s">
        <v>15</v>
      </c>
      <c r="O6" s="297" t="s">
        <v>16</v>
      </c>
      <c r="P6" s="297" t="s">
        <v>17</v>
      </c>
      <c r="Q6" s="297" t="s">
        <v>18</v>
      </c>
      <c r="R6" s="297" t="s">
        <v>19</v>
      </c>
      <c r="S6" s="297" t="s">
        <v>20</v>
      </c>
      <c r="T6" s="297" t="s">
        <v>21</v>
      </c>
      <c r="U6" s="297" t="s">
        <v>22</v>
      </c>
      <c r="V6" s="297" t="s">
        <v>23</v>
      </c>
      <c r="W6" s="297" t="s">
        <v>24</v>
      </c>
      <c r="X6" s="297" t="s">
        <v>25</v>
      </c>
      <c r="Y6" s="297" t="s">
        <v>26</v>
      </c>
      <c r="Z6" s="418" t="s">
        <v>27</v>
      </c>
      <c r="AA6" s="297" t="s">
        <v>28</v>
      </c>
      <c r="AB6" s="296" t="s">
        <v>12</v>
      </c>
      <c r="AC6" s="296" t="s">
        <v>65</v>
      </c>
      <c r="AD6" s="296" t="s">
        <v>13</v>
      </c>
      <c r="AE6" s="419" t="s">
        <v>14</v>
      </c>
      <c r="AF6" s="297" t="s">
        <v>15</v>
      </c>
      <c r="AG6" s="420" t="s">
        <v>16</v>
      </c>
      <c r="AH6" s="299" t="s">
        <v>17</v>
      </c>
      <c r="AI6" s="297" t="s">
        <v>18</v>
      </c>
      <c r="AJ6" s="297" t="s">
        <v>19</v>
      </c>
      <c r="AK6" s="297" t="s">
        <v>20</v>
      </c>
      <c r="AL6" s="297" t="s">
        <v>21</v>
      </c>
      <c r="AM6" s="297" t="s">
        <v>22</v>
      </c>
      <c r="AN6" s="297" t="s">
        <v>23</v>
      </c>
      <c r="AO6" s="297" t="s">
        <v>24</v>
      </c>
      <c r="AP6" s="297" t="s">
        <v>25</v>
      </c>
      <c r="AQ6" s="297" t="s">
        <v>26</v>
      </c>
      <c r="AR6" s="418" t="s">
        <v>27</v>
      </c>
      <c r="AS6" s="298" t="s">
        <v>28</v>
      </c>
      <c r="AT6" s="133"/>
      <c r="AU6" s="68" t="s">
        <v>54</v>
      </c>
      <c r="AV6" s="68" t="s">
        <v>2</v>
      </c>
      <c r="AW6" s="68" t="s">
        <v>54</v>
      </c>
      <c r="AX6" s="68" t="s">
        <v>2</v>
      </c>
      <c r="AY6" s="68" t="s">
        <v>54</v>
      </c>
      <c r="AZ6" s="68" t="s">
        <v>2</v>
      </c>
      <c r="BA6" s="68" t="s">
        <v>54</v>
      </c>
      <c r="BB6" s="68" t="s">
        <v>2</v>
      </c>
    </row>
    <row r="7" spans="1:54" ht="30" x14ac:dyDescent="0.25">
      <c r="A7" s="421"/>
      <c r="B7" s="422">
        <v>11</v>
      </c>
      <c r="C7" s="422"/>
      <c r="D7" s="422"/>
      <c r="E7" s="422"/>
      <c r="F7" s="422"/>
      <c r="G7" s="422"/>
      <c r="H7" s="423" t="s">
        <v>58</v>
      </c>
      <c r="I7" s="424"/>
      <c r="J7" s="422"/>
      <c r="K7" s="422"/>
      <c r="L7" s="422"/>
      <c r="M7" s="422"/>
      <c r="N7" s="425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5"/>
      <c r="AA7" s="422"/>
      <c r="AB7" s="426"/>
      <c r="AC7" s="426"/>
      <c r="AD7" s="426"/>
      <c r="AE7" s="427"/>
      <c r="AF7" s="428"/>
      <c r="AG7" s="429"/>
      <c r="AH7" s="430"/>
      <c r="AI7" s="426"/>
      <c r="AJ7" s="426"/>
      <c r="AK7" s="426"/>
      <c r="AL7" s="426"/>
      <c r="AM7" s="426"/>
      <c r="AN7" s="426"/>
      <c r="AO7" s="426"/>
      <c r="AP7" s="426"/>
      <c r="AQ7" s="426"/>
      <c r="AR7" s="425"/>
      <c r="AS7" s="431"/>
      <c r="AT7" s="132"/>
      <c r="AU7" s="11"/>
      <c r="AV7" s="11"/>
      <c r="AW7" s="11"/>
      <c r="AX7" s="11"/>
      <c r="AY7" s="11"/>
      <c r="AZ7" s="11"/>
      <c r="BA7" s="11"/>
      <c r="BB7" s="11"/>
    </row>
    <row r="8" spans="1:54" x14ac:dyDescent="0.25">
      <c r="A8" s="368"/>
      <c r="B8" s="369"/>
      <c r="C8" s="369">
        <v>0</v>
      </c>
      <c r="D8" s="369"/>
      <c r="E8" s="369"/>
      <c r="F8" s="369"/>
      <c r="G8" s="369"/>
      <c r="H8" s="339" t="s">
        <v>30</v>
      </c>
      <c r="I8" s="344"/>
      <c r="J8" s="369"/>
      <c r="K8" s="369"/>
      <c r="L8" s="369"/>
      <c r="M8" s="369"/>
      <c r="N8" s="381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81"/>
      <c r="AA8" s="369"/>
      <c r="AB8" s="341"/>
      <c r="AC8" s="341"/>
      <c r="AD8" s="341"/>
      <c r="AE8" s="382"/>
      <c r="AF8" s="345"/>
      <c r="AG8" s="383"/>
      <c r="AH8" s="379"/>
      <c r="AI8" s="341"/>
      <c r="AJ8" s="341"/>
      <c r="AK8" s="341"/>
      <c r="AL8" s="341"/>
      <c r="AM8" s="341"/>
      <c r="AN8" s="341"/>
      <c r="AO8" s="341"/>
      <c r="AP8" s="341"/>
      <c r="AQ8" s="341"/>
      <c r="AR8" s="381"/>
      <c r="AS8" s="378"/>
      <c r="AT8" s="132"/>
      <c r="AU8" s="11"/>
      <c r="AV8" s="11"/>
      <c r="AW8" s="11"/>
      <c r="AX8" s="11"/>
      <c r="AY8" s="11"/>
      <c r="AZ8" s="11"/>
      <c r="BA8" s="11"/>
      <c r="BB8" s="11"/>
    </row>
    <row r="9" spans="1:54" x14ac:dyDescent="0.25">
      <c r="A9" s="368"/>
      <c r="B9" s="369"/>
      <c r="C9" s="369"/>
      <c r="D9" s="369">
        <v>0</v>
      </c>
      <c r="E9" s="369"/>
      <c r="F9" s="369"/>
      <c r="G9" s="369"/>
      <c r="H9" s="339" t="s">
        <v>31</v>
      </c>
      <c r="I9" s="344"/>
      <c r="J9" s="369"/>
      <c r="K9" s="369"/>
      <c r="L9" s="369"/>
      <c r="M9" s="369"/>
      <c r="N9" s="381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81"/>
      <c r="AA9" s="369"/>
      <c r="AB9" s="341"/>
      <c r="AC9" s="341"/>
      <c r="AD9" s="341"/>
      <c r="AE9" s="382"/>
      <c r="AF9" s="345"/>
      <c r="AG9" s="383"/>
      <c r="AH9" s="379"/>
      <c r="AI9" s="341"/>
      <c r="AJ9" s="341"/>
      <c r="AK9" s="341"/>
      <c r="AL9" s="341"/>
      <c r="AM9" s="341"/>
      <c r="AN9" s="341"/>
      <c r="AO9" s="341"/>
      <c r="AP9" s="341"/>
      <c r="AQ9" s="341"/>
      <c r="AR9" s="381"/>
      <c r="AS9" s="378"/>
      <c r="AT9" s="132"/>
      <c r="AU9" s="11"/>
      <c r="AV9" s="11"/>
      <c r="AW9" s="11"/>
      <c r="AX9" s="11"/>
      <c r="AY9" s="11"/>
      <c r="AZ9" s="11"/>
      <c r="BA9" s="11"/>
      <c r="BB9" s="11"/>
    </row>
    <row r="10" spans="1:54" x14ac:dyDescent="0.25">
      <c r="A10" s="368"/>
      <c r="B10" s="369"/>
      <c r="C10" s="369"/>
      <c r="D10" s="369"/>
      <c r="E10" s="369">
        <v>2</v>
      </c>
      <c r="F10" s="369">
        <v>0</v>
      </c>
      <c r="G10" s="369"/>
      <c r="H10" s="339" t="s">
        <v>61</v>
      </c>
      <c r="I10" s="344"/>
      <c r="J10" s="348"/>
      <c r="K10" s="348"/>
      <c r="L10" s="348"/>
      <c r="M10" s="348"/>
      <c r="N10" s="382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82"/>
      <c r="AA10" s="348"/>
      <c r="AB10" s="341">
        <v>220690450</v>
      </c>
      <c r="AC10" s="341">
        <v>225764628</v>
      </c>
      <c r="AD10" s="341">
        <v>225838628</v>
      </c>
      <c r="AE10" s="381">
        <v>21850650</v>
      </c>
      <c r="AF10" s="341">
        <f>8775880.39+AG10+AR10</f>
        <v>16075862.43</v>
      </c>
      <c r="AG10" s="384">
        <f>+AS10</f>
        <v>5226429.04</v>
      </c>
      <c r="AH10" s="379">
        <v>474758.14</v>
      </c>
      <c r="AI10" s="345">
        <v>507500</v>
      </c>
      <c r="AJ10" s="345">
        <v>517600</v>
      </c>
      <c r="AK10" s="345">
        <v>3273897.1</v>
      </c>
      <c r="AL10" s="345">
        <v>489780</v>
      </c>
      <c r="AM10" s="345">
        <v>109468.22</v>
      </c>
      <c r="AN10" s="345">
        <v>2911591.26</v>
      </c>
      <c r="AO10" s="345">
        <v>695900.02</v>
      </c>
      <c r="AP10" s="382">
        <v>74260</v>
      </c>
      <c r="AQ10" s="382">
        <v>448741.94</v>
      </c>
      <c r="AR10" s="382">
        <v>2073553</v>
      </c>
      <c r="AS10" s="383">
        <v>5226429.04</v>
      </c>
      <c r="AT10" s="132"/>
      <c r="AU10" s="9">
        <v>231</v>
      </c>
      <c r="AV10" s="112">
        <v>214886956</v>
      </c>
      <c r="AW10" s="9">
        <v>232</v>
      </c>
      <c r="AX10" s="112">
        <v>215631320</v>
      </c>
      <c r="AY10" s="9">
        <v>234</v>
      </c>
      <c r="AZ10" s="112">
        <v>216412915</v>
      </c>
      <c r="BA10" s="9">
        <v>236</v>
      </c>
      <c r="BB10" s="112">
        <v>217233591</v>
      </c>
    </row>
    <row r="11" spans="1:54" x14ac:dyDescent="0.25">
      <c r="A11" s="368">
        <v>4</v>
      </c>
      <c r="B11" s="369"/>
      <c r="C11" s="369"/>
      <c r="D11" s="369"/>
      <c r="E11" s="369"/>
      <c r="F11" s="369"/>
      <c r="G11" s="369">
        <v>1</v>
      </c>
      <c r="H11" s="339" t="s">
        <v>62</v>
      </c>
      <c r="I11" s="340" t="s">
        <v>63</v>
      </c>
      <c r="J11" s="371">
        <f>J13</f>
        <v>230</v>
      </c>
      <c r="K11" s="371">
        <f>K13</f>
        <v>232</v>
      </c>
      <c r="L11" s="371">
        <v>232</v>
      </c>
      <c r="M11" s="371">
        <v>5</v>
      </c>
      <c r="N11" s="381">
        <f>SUM(P11:AA11)</f>
        <v>3</v>
      </c>
      <c r="O11" s="381">
        <f>+AA11</f>
        <v>3</v>
      </c>
      <c r="P11" s="371">
        <f>+P13</f>
        <v>0</v>
      </c>
      <c r="Q11" s="371">
        <f>Q12</f>
        <v>0</v>
      </c>
      <c r="R11" s="371">
        <f t="shared" ref="R11:Z11" si="0">R12</f>
        <v>0</v>
      </c>
      <c r="S11" s="371">
        <f t="shared" si="0"/>
        <v>0</v>
      </c>
      <c r="T11" s="371">
        <f t="shared" si="0"/>
        <v>0</v>
      </c>
      <c r="U11" s="371">
        <f t="shared" si="0"/>
        <v>0</v>
      </c>
      <c r="V11" s="371">
        <f t="shared" si="0"/>
        <v>0</v>
      </c>
      <c r="W11" s="371">
        <v>0</v>
      </c>
      <c r="X11" s="371">
        <v>0</v>
      </c>
      <c r="Y11" s="371">
        <f t="shared" si="0"/>
        <v>0</v>
      </c>
      <c r="Z11" s="381">
        <f t="shared" si="0"/>
        <v>0</v>
      </c>
      <c r="AA11" s="371">
        <v>3</v>
      </c>
      <c r="AB11" s="341"/>
      <c r="AC11" s="341"/>
      <c r="AD11" s="341"/>
      <c r="AE11" s="381"/>
      <c r="AF11" s="341"/>
      <c r="AG11" s="384"/>
      <c r="AH11" s="385"/>
      <c r="AI11" s="341"/>
      <c r="AJ11" s="341"/>
      <c r="AK11" s="341"/>
      <c r="AL11" s="341"/>
      <c r="AM11" s="341"/>
      <c r="AN11" s="341"/>
      <c r="AO11" s="341"/>
      <c r="AP11" s="381"/>
      <c r="AQ11" s="381"/>
      <c r="AR11" s="381"/>
      <c r="AS11" s="384"/>
      <c r="AT11" s="132"/>
      <c r="AU11" s="11"/>
      <c r="AV11" s="11"/>
      <c r="AW11" s="11"/>
      <c r="AX11" s="11"/>
      <c r="AY11" s="11"/>
      <c r="AZ11" s="11"/>
      <c r="BA11" s="11"/>
      <c r="BB11" s="11"/>
    </row>
    <row r="12" spans="1:54" x14ac:dyDescent="0.25">
      <c r="A12" s="368"/>
      <c r="B12" s="369"/>
      <c r="C12" s="369"/>
      <c r="D12" s="369"/>
      <c r="E12" s="369"/>
      <c r="F12" s="369"/>
      <c r="G12" s="348">
        <v>2</v>
      </c>
      <c r="H12" s="350" t="s">
        <v>62</v>
      </c>
      <c r="I12" s="344" t="s">
        <v>63</v>
      </c>
      <c r="J12" s="373">
        <v>109</v>
      </c>
      <c r="K12" s="373">
        <v>104</v>
      </c>
      <c r="L12" s="373">
        <v>232</v>
      </c>
      <c r="M12" s="373">
        <v>5</v>
      </c>
      <c r="N12" s="382">
        <f>SUM(P12:AA12)</f>
        <v>3</v>
      </c>
      <c r="O12" s="381">
        <f>+AA12</f>
        <v>3</v>
      </c>
      <c r="P12" s="373">
        <v>0</v>
      </c>
      <c r="Q12" s="373">
        <v>0</v>
      </c>
      <c r="R12" s="373">
        <v>0</v>
      </c>
      <c r="S12" s="373">
        <v>0</v>
      </c>
      <c r="T12" s="373">
        <v>0</v>
      </c>
      <c r="U12" s="373">
        <v>0</v>
      </c>
      <c r="V12" s="373">
        <v>0</v>
      </c>
      <c r="W12" s="373">
        <v>0</v>
      </c>
      <c r="X12" s="373">
        <v>0</v>
      </c>
      <c r="Y12" s="373">
        <v>0</v>
      </c>
      <c r="Z12" s="382">
        <v>0</v>
      </c>
      <c r="AA12" s="373">
        <v>3</v>
      </c>
      <c r="AB12" s="341"/>
      <c r="AC12" s="341"/>
      <c r="AD12" s="341"/>
      <c r="AE12" s="381"/>
      <c r="AF12" s="341"/>
      <c r="AG12" s="384"/>
      <c r="AH12" s="385"/>
      <c r="AI12" s="341"/>
      <c r="AJ12" s="341"/>
      <c r="AK12" s="345"/>
      <c r="AL12" s="345"/>
      <c r="AM12" s="345"/>
      <c r="AN12" s="345"/>
      <c r="AO12" s="345"/>
      <c r="AP12" s="382"/>
      <c r="AQ12" s="382"/>
      <c r="AR12" s="382"/>
      <c r="AS12" s="383"/>
      <c r="AT12" s="132"/>
      <c r="AU12" s="11"/>
      <c r="AV12" s="11"/>
      <c r="AW12" s="11"/>
      <c r="AX12" s="11"/>
      <c r="AY12" s="11"/>
      <c r="AZ12" s="11"/>
      <c r="BA12" s="11"/>
      <c r="BB12" s="11"/>
    </row>
    <row r="13" spans="1:54" x14ac:dyDescent="0.25">
      <c r="A13" s="368"/>
      <c r="B13" s="369"/>
      <c r="C13" s="369"/>
      <c r="D13" s="369"/>
      <c r="E13" s="369"/>
      <c r="F13" s="369"/>
      <c r="G13" s="348">
        <v>3</v>
      </c>
      <c r="H13" s="350" t="s">
        <v>202</v>
      </c>
      <c r="I13" s="344" t="s">
        <v>34</v>
      </c>
      <c r="J13" s="373">
        <v>230</v>
      </c>
      <c r="K13" s="373">
        <v>232</v>
      </c>
      <c r="L13" s="373">
        <v>104</v>
      </c>
      <c r="M13" s="373">
        <v>119</v>
      </c>
      <c r="N13" s="382">
        <f>69+O13+Z13</f>
        <v>85</v>
      </c>
      <c r="O13" s="381">
        <f>+AA13</f>
        <v>7</v>
      </c>
      <c r="P13" s="373">
        <v>0</v>
      </c>
      <c r="Q13" s="373">
        <v>13</v>
      </c>
      <c r="R13" s="373">
        <v>9</v>
      </c>
      <c r="S13" s="373">
        <v>9</v>
      </c>
      <c r="T13" s="373">
        <v>3</v>
      </c>
      <c r="U13" s="373">
        <v>5</v>
      </c>
      <c r="V13" s="373">
        <v>7</v>
      </c>
      <c r="W13" s="373">
        <v>3</v>
      </c>
      <c r="X13" s="373">
        <v>3</v>
      </c>
      <c r="Y13" s="373">
        <v>10</v>
      </c>
      <c r="Z13" s="382">
        <v>9</v>
      </c>
      <c r="AA13" s="373">
        <v>7</v>
      </c>
      <c r="AB13" s="341"/>
      <c r="AC13" s="341"/>
      <c r="AD13" s="341"/>
      <c r="AE13" s="381"/>
      <c r="AF13" s="341"/>
      <c r="AG13" s="384"/>
      <c r="AH13" s="385"/>
      <c r="AI13" s="341"/>
      <c r="AJ13" s="341"/>
      <c r="AK13" s="345"/>
      <c r="AL13" s="345"/>
      <c r="AM13" s="345"/>
      <c r="AN13" s="345"/>
      <c r="AO13" s="345"/>
      <c r="AP13" s="382"/>
      <c r="AQ13" s="382"/>
      <c r="AR13" s="382"/>
      <c r="AS13" s="383"/>
      <c r="AT13" s="132"/>
      <c r="AU13" s="11"/>
      <c r="AV13" s="11"/>
      <c r="AW13" s="11"/>
      <c r="AX13" s="11"/>
      <c r="AY13" s="11"/>
      <c r="AZ13" s="11"/>
      <c r="BA13" s="11"/>
      <c r="BB13" s="11"/>
    </row>
    <row r="14" spans="1:54" ht="45" x14ac:dyDescent="0.25">
      <c r="A14" s="368"/>
      <c r="B14" s="369">
        <v>20</v>
      </c>
      <c r="C14" s="369"/>
      <c r="D14" s="369"/>
      <c r="E14" s="369"/>
      <c r="F14" s="369"/>
      <c r="G14" s="369"/>
      <c r="H14" s="339" t="s">
        <v>204</v>
      </c>
      <c r="I14" s="344"/>
      <c r="J14" s="348"/>
      <c r="K14" s="348"/>
      <c r="L14" s="348"/>
      <c r="M14" s="348"/>
      <c r="N14" s="382"/>
      <c r="O14" s="382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82"/>
      <c r="AA14" s="348"/>
      <c r="AB14" s="341"/>
      <c r="AC14" s="341"/>
      <c r="AD14" s="341"/>
      <c r="AE14" s="381"/>
      <c r="AF14" s="341"/>
      <c r="AG14" s="384"/>
      <c r="AH14" s="385"/>
      <c r="AI14" s="341"/>
      <c r="AJ14" s="341"/>
      <c r="AK14" s="345"/>
      <c r="AL14" s="345"/>
      <c r="AM14" s="345"/>
      <c r="AN14" s="345"/>
      <c r="AO14" s="345"/>
      <c r="AP14" s="382"/>
      <c r="AQ14" s="382"/>
      <c r="AR14" s="382"/>
      <c r="AS14" s="383"/>
      <c r="AT14" s="132"/>
      <c r="AU14" s="11"/>
      <c r="AV14" s="11"/>
      <c r="AW14" s="11"/>
      <c r="AX14" s="11"/>
      <c r="AY14" s="11"/>
      <c r="AZ14" s="11"/>
      <c r="BA14" s="11"/>
      <c r="BB14" s="11"/>
    </row>
    <row r="15" spans="1:54" x14ac:dyDescent="0.25">
      <c r="A15" s="368"/>
      <c r="B15" s="369"/>
      <c r="C15" s="369">
        <v>0</v>
      </c>
      <c r="D15" s="369"/>
      <c r="E15" s="369"/>
      <c r="F15" s="369"/>
      <c r="G15" s="369"/>
      <c r="H15" s="339" t="s">
        <v>30</v>
      </c>
      <c r="I15" s="340"/>
      <c r="J15" s="369"/>
      <c r="K15" s="369"/>
      <c r="L15" s="369"/>
      <c r="M15" s="369"/>
      <c r="N15" s="381"/>
      <c r="O15" s="381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81"/>
      <c r="AA15" s="369"/>
      <c r="AB15" s="341"/>
      <c r="AC15" s="341"/>
      <c r="AD15" s="341"/>
      <c r="AE15" s="381"/>
      <c r="AF15" s="341"/>
      <c r="AG15" s="384"/>
      <c r="AH15" s="385"/>
      <c r="AI15" s="341"/>
      <c r="AJ15" s="341"/>
      <c r="AK15" s="341"/>
      <c r="AL15" s="341"/>
      <c r="AM15" s="341"/>
      <c r="AN15" s="341"/>
      <c r="AO15" s="341"/>
      <c r="AP15" s="381"/>
      <c r="AQ15" s="381"/>
      <c r="AR15" s="381"/>
      <c r="AS15" s="384"/>
      <c r="AT15" s="132"/>
      <c r="AU15" s="11"/>
      <c r="AV15" s="11"/>
      <c r="AW15" s="11"/>
      <c r="AX15" s="11"/>
      <c r="AY15" s="11"/>
      <c r="AZ15" s="11"/>
      <c r="BA15" s="11"/>
      <c r="BB15" s="11"/>
    </row>
    <row r="16" spans="1:54" x14ac:dyDescent="0.25">
      <c r="A16" s="368"/>
      <c r="B16" s="369"/>
      <c r="C16" s="369"/>
      <c r="D16" s="369">
        <v>0</v>
      </c>
      <c r="E16" s="369"/>
      <c r="F16" s="369"/>
      <c r="G16" s="369"/>
      <c r="H16" s="339" t="s">
        <v>31</v>
      </c>
      <c r="I16" s="344"/>
      <c r="J16" s="348"/>
      <c r="K16" s="348"/>
      <c r="L16" s="348"/>
      <c r="M16" s="348"/>
      <c r="N16" s="382"/>
      <c r="O16" s="382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82"/>
      <c r="AA16" s="348"/>
      <c r="AB16" s="341"/>
      <c r="AC16" s="341"/>
      <c r="AD16" s="341"/>
      <c r="AE16" s="381"/>
      <c r="AF16" s="341"/>
      <c r="AG16" s="384"/>
      <c r="AH16" s="385"/>
      <c r="AI16" s="341"/>
      <c r="AJ16" s="341"/>
      <c r="AK16" s="345"/>
      <c r="AL16" s="345"/>
      <c r="AM16" s="345"/>
      <c r="AN16" s="345"/>
      <c r="AO16" s="345"/>
      <c r="AP16" s="382"/>
      <c r="AQ16" s="382"/>
      <c r="AR16" s="382"/>
      <c r="AS16" s="383"/>
      <c r="AT16" s="132"/>
      <c r="AU16" s="11"/>
      <c r="AV16" s="11"/>
      <c r="AW16" s="11"/>
      <c r="AX16" s="11"/>
      <c r="AY16" s="11"/>
      <c r="AZ16" s="11"/>
      <c r="BA16" s="11"/>
      <c r="BB16" s="11"/>
    </row>
    <row r="17" spans="1:54" x14ac:dyDescent="0.25">
      <c r="A17" s="368"/>
      <c r="B17" s="369"/>
      <c r="C17" s="369"/>
      <c r="D17" s="369"/>
      <c r="E17" s="369">
        <v>1</v>
      </c>
      <c r="F17" s="369">
        <v>0</v>
      </c>
      <c r="G17" s="369"/>
      <c r="H17" s="339" t="s">
        <v>59</v>
      </c>
      <c r="I17" s="344"/>
      <c r="J17" s="348"/>
      <c r="K17" s="348"/>
      <c r="L17" s="348"/>
      <c r="M17" s="348"/>
      <c r="N17" s="382"/>
      <c r="O17" s="382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82"/>
      <c r="AA17" s="348"/>
      <c r="AB17" s="341">
        <v>52270641.5</v>
      </c>
      <c r="AC17" s="341">
        <v>47767950</v>
      </c>
      <c r="AD17" s="341">
        <v>47767950</v>
      </c>
      <c r="AE17" s="381">
        <v>39082486</v>
      </c>
      <c r="AF17" s="341">
        <f>28053930.1+AG17+AR17</f>
        <v>35022633.82</v>
      </c>
      <c r="AG17" s="384">
        <f>+AS17</f>
        <v>4271877.3499999996</v>
      </c>
      <c r="AH17" s="379">
        <v>1648021.61</v>
      </c>
      <c r="AI17" s="345">
        <v>2204582.67</v>
      </c>
      <c r="AJ17" s="345">
        <v>1985563.94</v>
      </c>
      <c r="AK17" s="345">
        <v>2319046.42</v>
      </c>
      <c r="AL17" s="345">
        <v>3745292.46</v>
      </c>
      <c r="AM17" s="345">
        <v>1688000.09</v>
      </c>
      <c r="AN17" s="345">
        <v>5188485.8099999996</v>
      </c>
      <c r="AO17" s="345">
        <v>74260</v>
      </c>
      <c r="AP17" s="382">
        <v>640816.54</v>
      </c>
      <c r="AQ17" s="382">
        <v>3581796.89</v>
      </c>
      <c r="AR17" s="382">
        <v>2696826.37</v>
      </c>
      <c r="AS17" s="383">
        <v>4271877.3499999996</v>
      </c>
      <c r="AT17" s="132"/>
      <c r="AU17" s="9">
        <v>263</v>
      </c>
      <c r="AV17" s="9">
        <v>62234174</v>
      </c>
      <c r="AW17" s="9">
        <v>276</v>
      </c>
      <c r="AX17" s="9">
        <v>65345883</v>
      </c>
      <c r="AY17" s="9">
        <v>290</v>
      </c>
      <c r="AZ17" s="9">
        <v>68613176</v>
      </c>
      <c r="BA17" s="9">
        <v>305</v>
      </c>
      <c r="BB17" s="9">
        <v>72043835</v>
      </c>
    </row>
    <row r="18" spans="1:54" x14ac:dyDescent="0.25">
      <c r="A18" s="368">
        <v>4</v>
      </c>
      <c r="B18" s="369"/>
      <c r="C18" s="369"/>
      <c r="D18" s="369"/>
      <c r="E18" s="369"/>
      <c r="F18" s="369"/>
      <c r="G18" s="369">
        <v>1</v>
      </c>
      <c r="H18" s="339" t="s">
        <v>60</v>
      </c>
      <c r="I18" s="340" t="s">
        <v>34</v>
      </c>
      <c r="J18" s="371">
        <f>J19</f>
        <v>251</v>
      </c>
      <c r="K18" s="371">
        <f>K19</f>
        <v>259</v>
      </c>
      <c r="L18" s="371">
        <f>L19</f>
        <v>259</v>
      </c>
      <c r="M18" s="371">
        <v>215</v>
      </c>
      <c r="N18" s="381">
        <f>156+O18+Z18</f>
        <v>194</v>
      </c>
      <c r="O18" s="381">
        <f>+AA18</f>
        <v>24</v>
      </c>
      <c r="P18" s="371">
        <f t="shared" ref="P18:X18" si="1">+P19</f>
        <v>0</v>
      </c>
      <c r="Q18" s="371">
        <f t="shared" si="1"/>
        <v>22</v>
      </c>
      <c r="R18" s="371">
        <f t="shared" si="1"/>
        <v>10</v>
      </c>
      <c r="S18" s="371">
        <f t="shared" si="1"/>
        <v>13</v>
      </c>
      <c r="T18" s="371">
        <f t="shared" si="1"/>
        <v>21</v>
      </c>
      <c r="U18" s="371">
        <f t="shared" si="1"/>
        <v>21</v>
      </c>
      <c r="V18" s="371">
        <f t="shared" si="1"/>
        <v>16</v>
      </c>
      <c r="W18" s="371">
        <f t="shared" si="1"/>
        <v>15</v>
      </c>
      <c r="X18" s="371">
        <f t="shared" si="1"/>
        <v>15</v>
      </c>
      <c r="Y18" s="371">
        <v>22</v>
      </c>
      <c r="Z18" s="381">
        <v>14</v>
      </c>
      <c r="AA18" s="371">
        <v>24</v>
      </c>
      <c r="AB18" s="341"/>
      <c r="AC18" s="341"/>
      <c r="AD18" s="341"/>
      <c r="AE18" s="381"/>
      <c r="AF18" s="341"/>
      <c r="AG18" s="384"/>
      <c r="AH18" s="385"/>
      <c r="AI18" s="341"/>
      <c r="AJ18" s="341"/>
      <c r="AK18" s="341"/>
      <c r="AL18" s="341"/>
      <c r="AM18" s="341"/>
      <c r="AN18" s="341"/>
      <c r="AO18" s="341"/>
      <c r="AP18" s="381"/>
      <c r="AQ18" s="381"/>
      <c r="AR18" s="381"/>
      <c r="AS18" s="384"/>
      <c r="AT18" s="132"/>
      <c r="AU18" s="11"/>
      <c r="AV18" s="11"/>
      <c r="AW18" s="11"/>
      <c r="AX18" s="11"/>
      <c r="AY18" s="11"/>
      <c r="AZ18" s="11"/>
      <c r="BA18" s="11"/>
      <c r="BB18" s="11"/>
    </row>
    <row r="19" spans="1:54" x14ac:dyDescent="0.25">
      <c r="A19" s="368"/>
      <c r="B19" s="369"/>
      <c r="C19" s="369"/>
      <c r="D19" s="369"/>
      <c r="E19" s="369"/>
      <c r="F19" s="369"/>
      <c r="G19" s="348">
        <v>2</v>
      </c>
      <c r="H19" s="350" t="s">
        <v>60</v>
      </c>
      <c r="I19" s="344" t="s">
        <v>34</v>
      </c>
      <c r="J19" s="348">
        <v>251</v>
      </c>
      <c r="K19" s="348">
        <v>259</v>
      </c>
      <c r="L19" s="348">
        <v>259</v>
      </c>
      <c r="M19" s="348">
        <v>215</v>
      </c>
      <c r="N19" s="381">
        <f>156+O19+Z19</f>
        <v>194</v>
      </c>
      <c r="O19" s="381">
        <f>+AA19</f>
        <v>24</v>
      </c>
      <c r="P19" s="373">
        <v>0</v>
      </c>
      <c r="Q19" s="373">
        <v>22</v>
      </c>
      <c r="R19" s="373">
        <v>10</v>
      </c>
      <c r="S19" s="373">
        <v>13</v>
      </c>
      <c r="T19" s="373">
        <v>21</v>
      </c>
      <c r="U19" s="373">
        <v>21</v>
      </c>
      <c r="V19" s="373">
        <v>16</v>
      </c>
      <c r="W19" s="373">
        <v>15</v>
      </c>
      <c r="X19" s="373">
        <v>15</v>
      </c>
      <c r="Y19" s="373">
        <v>22</v>
      </c>
      <c r="Z19" s="382">
        <v>14</v>
      </c>
      <c r="AA19" s="373">
        <v>24</v>
      </c>
      <c r="AB19" s="341"/>
      <c r="AC19" s="341"/>
      <c r="AD19" s="341"/>
      <c r="AE19" s="381"/>
      <c r="AF19" s="341"/>
      <c r="AG19" s="384"/>
      <c r="AH19" s="386"/>
      <c r="AI19" s="387"/>
      <c r="AJ19" s="387"/>
      <c r="AK19" s="387"/>
      <c r="AL19" s="387"/>
      <c r="AM19" s="387"/>
      <c r="AN19" s="387"/>
      <c r="AO19" s="387"/>
      <c r="AP19" s="388"/>
      <c r="AQ19" s="388"/>
      <c r="AR19" s="388"/>
      <c r="AS19" s="389"/>
      <c r="AT19" s="132"/>
      <c r="AU19" s="11"/>
      <c r="AV19" s="11"/>
      <c r="AW19" s="11"/>
      <c r="AX19" s="11"/>
      <c r="AY19" s="11"/>
      <c r="AZ19" s="11"/>
      <c r="BA19" s="11"/>
      <c r="BB19" s="11"/>
    </row>
    <row r="20" spans="1:54" ht="75" x14ac:dyDescent="0.25">
      <c r="A20" s="390"/>
      <c r="B20" s="364">
        <v>94</v>
      </c>
      <c r="C20" s="364"/>
      <c r="D20" s="364"/>
      <c r="E20" s="364"/>
      <c r="F20" s="364"/>
      <c r="G20" s="364"/>
      <c r="H20" s="339" t="s">
        <v>257</v>
      </c>
      <c r="I20" s="364"/>
      <c r="J20" s="364"/>
      <c r="K20" s="364"/>
      <c r="L20" s="364"/>
      <c r="M20" s="364"/>
      <c r="N20" s="391"/>
      <c r="O20" s="391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91"/>
      <c r="AA20" s="364"/>
      <c r="AB20" s="364"/>
      <c r="AC20" s="364"/>
      <c r="AD20" s="364"/>
      <c r="AE20" s="391"/>
      <c r="AF20" s="364"/>
      <c r="AG20" s="392"/>
      <c r="AH20" s="393"/>
      <c r="AI20" s="364"/>
      <c r="AJ20" s="364"/>
      <c r="AK20" s="364"/>
      <c r="AL20" s="364"/>
      <c r="AM20" s="364"/>
      <c r="AN20" s="364"/>
      <c r="AO20" s="394"/>
      <c r="AP20" s="395"/>
      <c r="AQ20" s="382"/>
      <c r="AR20" s="395"/>
      <c r="AS20" s="432"/>
    </row>
    <row r="21" spans="1:54" ht="45" x14ac:dyDescent="0.25">
      <c r="A21" s="390"/>
      <c r="B21" s="364"/>
      <c r="C21" s="364">
        <v>11</v>
      </c>
      <c r="D21" s="364"/>
      <c r="E21" s="364"/>
      <c r="F21" s="364"/>
      <c r="G21" s="364"/>
      <c r="H21" s="396" t="s">
        <v>258</v>
      </c>
      <c r="I21" s="364"/>
      <c r="J21" s="364"/>
      <c r="K21" s="364"/>
      <c r="L21" s="397">
        <v>0</v>
      </c>
      <c r="M21" s="397">
        <v>97</v>
      </c>
      <c r="N21" s="398">
        <f>+O21</f>
        <v>49</v>
      </c>
      <c r="O21" s="381">
        <f>+AA21</f>
        <v>49</v>
      </c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91"/>
      <c r="AA21" s="364">
        <v>49</v>
      </c>
      <c r="AB21" s="364">
        <v>0</v>
      </c>
      <c r="AC21" s="364">
        <v>0</v>
      </c>
      <c r="AD21" s="399">
        <v>0</v>
      </c>
      <c r="AE21" s="381">
        <v>4499442</v>
      </c>
      <c r="AF21" s="400">
        <f>+AG21</f>
        <v>4438829.5999999996</v>
      </c>
      <c r="AG21" s="401">
        <f>+AS21</f>
        <v>4438829.5999999996</v>
      </c>
      <c r="AH21" s="393"/>
      <c r="AI21" s="364"/>
      <c r="AJ21" s="364"/>
      <c r="AK21" s="364"/>
      <c r="AL21" s="364"/>
      <c r="AM21" s="364"/>
      <c r="AN21" s="364"/>
      <c r="AO21" s="394">
        <v>0</v>
      </c>
      <c r="AP21" s="395"/>
      <c r="AQ21" s="382"/>
      <c r="AR21" s="395">
        <v>0</v>
      </c>
      <c r="AS21" s="432">
        <v>4438829.5999999996</v>
      </c>
    </row>
    <row r="22" spans="1:54" ht="45" x14ac:dyDescent="0.25">
      <c r="A22" s="390"/>
      <c r="B22" s="364"/>
      <c r="C22" s="364"/>
      <c r="D22" s="364">
        <v>0</v>
      </c>
      <c r="E22" s="364"/>
      <c r="F22" s="364"/>
      <c r="G22" s="364">
        <v>1</v>
      </c>
      <c r="H22" s="402" t="s">
        <v>259</v>
      </c>
      <c r="I22" s="364" t="s">
        <v>260</v>
      </c>
      <c r="J22" s="364"/>
      <c r="K22" s="364"/>
      <c r="L22" s="364">
        <v>0</v>
      </c>
      <c r="M22" s="364">
        <v>97</v>
      </c>
      <c r="N22" s="391">
        <f>+O22</f>
        <v>49</v>
      </c>
      <c r="O22" s="381">
        <f>+AA22</f>
        <v>49</v>
      </c>
      <c r="P22" s="364"/>
      <c r="Q22" s="364"/>
      <c r="R22" s="364"/>
      <c r="S22" s="364"/>
      <c r="T22" s="364"/>
      <c r="U22" s="364"/>
      <c r="V22" s="364"/>
      <c r="W22" s="364">
        <v>0</v>
      </c>
      <c r="X22" s="364"/>
      <c r="Y22" s="364"/>
      <c r="Z22" s="391"/>
      <c r="AA22" s="364">
        <v>49</v>
      </c>
      <c r="AB22" s="364">
        <v>0</v>
      </c>
      <c r="AC22" s="364">
        <v>0</v>
      </c>
      <c r="AD22" s="403">
        <v>0</v>
      </c>
      <c r="AE22" s="403">
        <v>0</v>
      </c>
      <c r="AF22" s="403">
        <v>0</v>
      </c>
      <c r="AG22" s="404">
        <v>0</v>
      </c>
      <c r="AH22" s="393"/>
      <c r="AI22" s="364"/>
      <c r="AJ22" s="364"/>
      <c r="AK22" s="364"/>
      <c r="AL22" s="364"/>
      <c r="AM22" s="364"/>
      <c r="AN22" s="364"/>
      <c r="AO22" s="394"/>
      <c r="AP22" s="395"/>
      <c r="AQ22" s="382"/>
      <c r="AR22" s="395">
        <v>0</v>
      </c>
      <c r="AS22" s="432"/>
    </row>
    <row r="23" spans="1:54" ht="45" x14ac:dyDescent="0.25">
      <c r="A23" s="390"/>
      <c r="B23" s="364">
        <v>14</v>
      </c>
      <c r="C23" s="364"/>
      <c r="D23" s="364"/>
      <c r="E23" s="364"/>
      <c r="F23" s="364"/>
      <c r="G23" s="364"/>
      <c r="H23" s="396" t="s">
        <v>252</v>
      </c>
      <c r="I23" s="364"/>
      <c r="J23" s="364"/>
      <c r="K23" s="364"/>
      <c r="L23" s="364"/>
      <c r="M23" s="364"/>
      <c r="N23" s="391"/>
      <c r="O23" s="391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91"/>
      <c r="AA23" s="364"/>
      <c r="AB23" s="364"/>
      <c r="AC23" s="364"/>
      <c r="AD23" s="364"/>
      <c r="AE23" s="391"/>
      <c r="AF23" s="364"/>
      <c r="AG23" s="392"/>
      <c r="AH23" s="393"/>
      <c r="AI23" s="364"/>
      <c r="AJ23" s="364"/>
      <c r="AK23" s="364"/>
      <c r="AL23" s="364"/>
      <c r="AM23" s="364"/>
      <c r="AN23" s="364"/>
      <c r="AO23" s="394"/>
      <c r="AP23" s="395"/>
      <c r="AQ23" s="382"/>
      <c r="AR23" s="395"/>
      <c r="AS23" s="432"/>
    </row>
    <row r="24" spans="1:54" ht="75" x14ac:dyDescent="0.25">
      <c r="A24" s="390"/>
      <c r="B24" s="364"/>
      <c r="C24" s="364">
        <v>0</v>
      </c>
      <c r="D24" s="364"/>
      <c r="E24" s="364"/>
      <c r="F24" s="364"/>
      <c r="G24" s="364"/>
      <c r="H24" s="396" t="s">
        <v>253</v>
      </c>
      <c r="I24" s="364"/>
      <c r="J24" s="364"/>
      <c r="K24" s="364"/>
      <c r="L24" s="397">
        <v>0</v>
      </c>
      <c r="M24" s="405">
        <v>15</v>
      </c>
      <c r="N24" s="400">
        <v>12</v>
      </c>
      <c r="O24" s="381">
        <f>+AA24</f>
        <v>7</v>
      </c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91">
        <v>5</v>
      </c>
      <c r="AA24" s="364">
        <v>7</v>
      </c>
      <c r="AB24" s="364"/>
      <c r="AC24" s="364"/>
      <c r="AD24" s="399">
        <v>0</v>
      </c>
      <c r="AE24" s="381">
        <v>16086297</v>
      </c>
      <c r="AF24" s="400">
        <f>+AG24+AQ24</f>
        <v>16086295.130000001</v>
      </c>
      <c r="AG24" s="406">
        <f>+AS24</f>
        <v>10002411.130000001</v>
      </c>
      <c r="AH24" s="393"/>
      <c r="AI24" s="364"/>
      <c r="AJ24" s="364"/>
      <c r="AK24" s="364"/>
      <c r="AL24" s="364"/>
      <c r="AM24" s="364"/>
      <c r="AN24" s="364"/>
      <c r="AO24" s="394">
        <v>0</v>
      </c>
      <c r="AP24" s="395"/>
      <c r="AQ24" s="382">
        <v>6083884</v>
      </c>
      <c r="AR24" s="395">
        <v>0</v>
      </c>
      <c r="AS24" s="432">
        <v>10002411.130000001</v>
      </c>
    </row>
    <row r="25" spans="1:54" ht="75" x14ac:dyDescent="0.25">
      <c r="A25" s="390"/>
      <c r="B25" s="364"/>
      <c r="C25" s="364"/>
      <c r="D25" s="364">
        <v>2</v>
      </c>
      <c r="E25" s="364"/>
      <c r="F25" s="364"/>
      <c r="G25" s="364">
        <v>1</v>
      </c>
      <c r="H25" s="402" t="s">
        <v>254</v>
      </c>
      <c r="I25" s="364" t="s">
        <v>260</v>
      </c>
      <c r="J25" s="364"/>
      <c r="K25" s="364"/>
      <c r="L25" s="364">
        <v>0</v>
      </c>
      <c r="M25" s="407">
        <v>15</v>
      </c>
      <c r="N25" s="395">
        <v>12</v>
      </c>
      <c r="O25" s="381">
        <f>+AA25</f>
        <v>7</v>
      </c>
      <c r="P25" s="364"/>
      <c r="Q25" s="364"/>
      <c r="R25" s="364"/>
      <c r="S25" s="364"/>
      <c r="T25" s="364"/>
      <c r="U25" s="364"/>
      <c r="V25" s="364"/>
      <c r="W25" s="364">
        <v>0</v>
      </c>
      <c r="X25" s="364"/>
      <c r="Y25" s="364"/>
      <c r="Z25" s="391">
        <v>5</v>
      </c>
      <c r="AA25" s="364">
        <v>7</v>
      </c>
      <c r="AB25" s="364">
        <v>0</v>
      </c>
      <c r="AC25" s="364">
        <v>0</v>
      </c>
      <c r="AD25" s="351">
        <v>0</v>
      </c>
      <c r="AE25" s="351">
        <v>0</v>
      </c>
      <c r="AF25" s="351">
        <v>0</v>
      </c>
      <c r="AG25" s="401">
        <v>0</v>
      </c>
      <c r="AH25" s="393"/>
      <c r="AI25" s="364"/>
      <c r="AJ25" s="364"/>
      <c r="AK25" s="364"/>
      <c r="AL25" s="364"/>
      <c r="AM25" s="364"/>
      <c r="AN25" s="364"/>
      <c r="AO25" s="394">
        <v>0</v>
      </c>
      <c r="AP25" s="395"/>
      <c r="AQ25" s="382"/>
      <c r="AR25" s="395"/>
      <c r="AS25" s="432"/>
    </row>
    <row r="26" spans="1:54" ht="135" x14ac:dyDescent="0.25">
      <c r="A26" s="372"/>
      <c r="B26" s="348"/>
      <c r="C26" s="348">
        <v>15</v>
      </c>
      <c r="D26" s="348"/>
      <c r="E26" s="348"/>
      <c r="F26" s="348"/>
      <c r="G26" s="348"/>
      <c r="H26" s="339" t="s">
        <v>262</v>
      </c>
      <c r="I26" s="344" t="s">
        <v>64</v>
      </c>
      <c r="J26" s="351"/>
      <c r="K26" s="351"/>
      <c r="L26" s="365">
        <v>0</v>
      </c>
      <c r="M26" s="365">
        <v>8</v>
      </c>
      <c r="N26" s="408">
        <f>+O26</f>
        <v>7</v>
      </c>
      <c r="O26" s="381">
        <f>+AA26</f>
        <v>7</v>
      </c>
      <c r="P26" s="365"/>
      <c r="Q26" s="365"/>
      <c r="R26" s="365"/>
      <c r="S26" s="365"/>
      <c r="T26" s="365"/>
      <c r="U26" s="365"/>
      <c r="V26" s="365"/>
      <c r="W26" s="365"/>
      <c r="X26" s="365"/>
      <c r="Y26" s="365">
        <v>0</v>
      </c>
      <c r="Z26" s="409">
        <v>0</v>
      </c>
      <c r="AA26" s="351">
        <v>7</v>
      </c>
      <c r="AB26" s="351"/>
      <c r="AC26" s="351"/>
      <c r="AD26" s="399">
        <v>0</v>
      </c>
      <c r="AE26" s="400">
        <v>11500000</v>
      </c>
      <c r="AF26" s="400">
        <f>+AG26</f>
        <v>11190182.5</v>
      </c>
      <c r="AG26" s="410">
        <f>+AS26</f>
        <v>11190182.5</v>
      </c>
      <c r="AH26" s="433"/>
      <c r="AI26" s="433"/>
      <c r="AJ26" s="433"/>
      <c r="AK26" s="433"/>
      <c r="AL26" s="433"/>
      <c r="AM26" s="433"/>
      <c r="AN26" s="433"/>
      <c r="AO26" s="433"/>
      <c r="AP26" s="395"/>
      <c r="AQ26" s="382"/>
      <c r="AR26" s="395"/>
      <c r="AS26" s="432">
        <v>11190182.5</v>
      </c>
    </row>
    <row r="27" spans="1:54" ht="41.25" thickBot="1" x14ac:dyDescent="0.3">
      <c r="A27" s="411"/>
      <c r="B27" s="376"/>
      <c r="C27" s="376"/>
      <c r="D27" s="376"/>
      <c r="E27" s="376">
        <v>1</v>
      </c>
      <c r="F27" s="376"/>
      <c r="G27" s="376"/>
      <c r="H27" s="354" t="s">
        <v>263</v>
      </c>
      <c r="I27" s="355" t="s">
        <v>64</v>
      </c>
      <c r="J27" s="356">
        <v>0</v>
      </c>
      <c r="K27" s="356">
        <v>0</v>
      </c>
      <c r="L27" s="356">
        <v>0</v>
      </c>
      <c r="M27" s="356">
        <v>8</v>
      </c>
      <c r="N27" s="412">
        <f>+O27</f>
        <v>7</v>
      </c>
      <c r="O27" s="434">
        <f>+AA27</f>
        <v>7</v>
      </c>
      <c r="P27" s="356"/>
      <c r="Q27" s="356"/>
      <c r="R27" s="356"/>
      <c r="S27" s="356"/>
      <c r="T27" s="356"/>
      <c r="U27" s="356"/>
      <c r="V27" s="356"/>
      <c r="W27" s="356">
        <v>0</v>
      </c>
      <c r="X27" s="356"/>
      <c r="Y27" s="356">
        <v>0</v>
      </c>
      <c r="Z27" s="412">
        <v>0</v>
      </c>
      <c r="AA27" s="356">
        <v>7</v>
      </c>
      <c r="AB27" s="356">
        <v>0</v>
      </c>
      <c r="AC27" s="356">
        <v>0</v>
      </c>
      <c r="AD27" s="356">
        <v>0</v>
      </c>
      <c r="AE27" s="356">
        <v>0</v>
      </c>
      <c r="AF27" s="412">
        <v>0</v>
      </c>
      <c r="AG27" s="413">
        <f>+AQ27</f>
        <v>0</v>
      </c>
      <c r="AH27" s="435"/>
      <c r="AI27" s="435"/>
      <c r="AJ27" s="435"/>
      <c r="AK27" s="435"/>
      <c r="AL27" s="435"/>
      <c r="AM27" s="435"/>
      <c r="AN27" s="435"/>
      <c r="AO27" s="435"/>
      <c r="AP27" s="436"/>
      <c r="AQ27" s="437"/>
      <c r="AR27" s="438"/>
      <c r="AS27" s="439"/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  <pageSetup orientation="portrait" r:id="rId1"/>
  <ignoredErrors>
    <ignoredError sqref="N14:N17 AF11:AF16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BO30"/>
  <sheetViews>
    <sheetView tabSelected="1" zoomScale="85" zoomScaleNormal="8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H11" sqref="H1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3" width="13.7109375" customWidth="1"/>
    <col min="34" max="45" width="13.7109375" hidden="1" customWidth="1"/>
    <col min="46" max="46" width="11.5703125" bestFit="1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+'217. FSS'!A3</f>
        <v>EJERCICIO FISCAL 2022 - ACTUALIZADA DICIEMBRE</v>
      </c>
    </row>
    <row r="4" spans="1:54" ht="15" customHeight="1" thickBot="1" x14ac:dyDescent="0.3"/>
    <row r="5" spans="1:54" s="111" customFormat="1" ht="15" customHeight="1" x14ac:dyDescent="0.25">
      <c r="A5" s="335" t="s">
        <v>205</v>
      </c>
      <c r="B5" s="336"/>
      <c r="C5" s="336"/>
      <c r="D5" s="336"/>
      <c r="E5" s="336"/>
      <c r="F5" s="336"/>
      <c r="G5" s="336"/>
      <c r="H5" s="336"/>
      <c r="I5" s="336"/>
      <c r="J5" s="337" t="s">
        <v>206</v>
      </c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 t="s">
        <v>2</v>
      </c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8"/>
      <c r="AT5" s="132"/>
      <c r="AU5" s="326" t="s">
        <v>51</v>
      </c>
      <c r="AV5" s="326"/>
      <c r="AW5" s="326" t="s">
        <v>52</v>
      </c>
      <c r="AX5" s="326"/>
      <c r="AY5" s="326" t="s">
        <v>53</v>
      </c>
      <c r="AZ5" s="326"/>
      <c r="BA5" s="326" t="s">
        <v>55</v>
      </c>
      <c r="BB5" s="326"/>
    </row>
    <row r="6" spans="1:54" s="113" customFormat="1" ht="36" x14ac:dyDescent="0.25">
      <c r="A6" s="238" t="s">
        <v>3</v>
      </c>
      <c r="B6" s="229" t="s">
        <v>4</v>
      </c>
      <c r="C6" s="229" t="s">
        <v>5</v>
      </c>
      <c r="D6" s="229" t="s">
        <v>6</v>
      </c>
      <c r="E6" s="229" t="s">
        <v>7</v>
      </c>
      <c r="F6" s="229" t="s">
        <v>8</v>
      </c>
      <c r="G6" s="229" t="s">
        <v>9</v>
      </c>
      <c r="H6" s="230" t="s">
        <v>10</v>
      </c>
      <c r="I6" s="231" t="s">
        <v>11</v>
      </c>
      <c r="J6" s="232" t="s">
        <v>12</v>
      </c>
      <c r="K6" s="232" t="s">
        <v>65</v>
      </c>
      <c r="L6" s="232" t="s">
        <v>13</v>
      </c>
      <c r="M6" s="232" t="s">
        <v>14</v>
      </c>
      <c r="N6" s="233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3" t="s">
        <v>22</v>
      </c>
      <c r="V6" s="233" t="s">
        <v>23</v>
      </c>
      <c r="W6" s="233" t="s">
        <v>24</v>
      </c>
      <c r="X6" s="233" t="s">
        <v>25</v>
      </c>
      <c r="Y6" s="233" t="s">
        <v>26</v>
      </c>
      <c r="Z6" s="233" t="s">
        <v>27</v>
      </c>
      <c r="AA6" s="233" t="s">
        <v>28</v>
      </c>
      <c r="AB6" s="232" t="s">
        <v>12</v>
      </c>
      <c r="AC6" s="232" t="s">
        <v>65</v>
      </c>
      <c r="AD6" s="232" t="s">
        <v>13</v>
      </c>
      <c r="AE6" s="232" t="s">
        <v>14</v>
      </c>
      <c r="AF6" s="233" t="s">
        <v>15</v>
      </c>
      <c r="AG6" s="233" t="s">
        <v>16</v>
      </c>
      <c r="AH6" s="233" t="s">
        <v>17</v>
      </c>
      <c r="AI6" s="233" t="s">
        <v>18</v>
      </c>
      <c r="AJ6" s="233" t="s">
        <v>19</v>
      </c>
      <c r="AK6" s="233" t="s">
        <v>20</v>
      </c>
      <c r="AL6" s="233" t="s">
        <v>251</v>
      </c>
      <c r="AM6" s="233" t="s">
        <v>22</v>
      </c>
      <c r="AN6" s="233" t="s">
        <v>23</v>
      </c>
      <c r="AO6" s="233" t="s">
        <v>24</v>
      </c>
      <c r="AP6" s="233" t="s">
        <v>25</v>
      </c>
      <c r="AQ6" s="233" t="s">
        <v>26</v>
      </c>
      <c r="AR6" s="233" t="s">
        <v>27</v>
      </c>
      <c r="AS6" s="239" t="s">
        <v>28</v>
      </c>
      <c r="AT6" s="133"/>
      <c r="AU6" s="68" t="s">
        <v>54</v>
      </c>
      <c r="AV6" s="68" t="s">
        <v>2</v>
      </c>
      <c r="AW6" s="68" t="s">
        <v>54</v>
      </c>
      <c r="AX6" s="68" t="s">
        <v>2</v>
      </c>
      <c r="AY6" s="68" t="s">
        <v>54</v>
      </c>
      <c r="AZ6" s="68" t="s">
        <v>2</v>
      </c>
      <c r="BA6" s="68" t="s">
        <v>54</v>
      </c>
      <c r="BB6" s="68" t="s">
        <v>2</v>
      </c>
    </row>
    <row r="7" spans="1:54" s="111" customFormat="1" x14ac:dyDescent="0.25">
      <c r="A7" s="143"/>
      <c r="B7" s="144">
        <v>19</v>
      </c>
      <c r="C7" s="144"/>
      <c r="D7" s="144"/>
      <c r="E7" s="144"/>
      <c r="F7" s="144"/>
      <c r="G7" s="144"/>
      <c r="H7" s="151" t="s">
        <v>203</v>
      </c>
      <c r="I7" s="234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5"/>
      <c r="AC7" s="145"/>
      <c r="AD7" s="145"/>
      <c r="AE7" s="145"/>
      <c r="AF7" s="145"/>
      <c r="AG7" s="145"/>
      <c r="AH7" s="145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9"/>
      <c r="AT7" s="130"/>
      <c r="AU7" s="11"/>
      <c r="AV7" s="11"/>
      <c r="AW7" s="11"/>
      <c r="AX7" s="11"/>
      <c r="AY7" s="11"/>
      <c r="AZ7" s="11"/>
      <c r="BA7" s="11"/>
      <c r="BB7" s="11"/>
    </row>
    <row r="8" spans="1:54" s="111" customFormat="1" x14ac:dyDescent="0.25">
      <c r="A8" s="143"/>
      <c r="B8" s="144"/>
      <c r="C8" s="144">
        <v>0</v>
      </c>
      <c r="D8" s="144"/>
      <c r="E8" s="144"/>
      <c r="F8" s="144"/>
      <c r="G8" s="144"/>
      <c r="H8" s="151" t="s">
        <v>30</v>
      </c>
      <c r="I8" s="235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5"/>
      <c r="AC8" s="145"/>
      <c r="AD8" s="145"/>
      <c r="AE8" s="145"/>
      <c r="AF8" s="145"/>
      <c r="AG8" s="145"/>
      <c r="AH8" s="145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9"/>
      <c r="AT8" s="130"/>
      <c r="AU8" s="11"/>
      <c r="AV8" s="11"/>
      <c r="AW8" s="11"/>
      <c r="AX8" s="11"/>
      <c r="AY8" s="11"/>
      <c r="AZ8" s="11"/>
      <c r="BA8" s="11"/>
      <c r="BB8" s="11"/>
    </row>
    <row r="9" spans="1:54" s="111" customFormat="1" x14ac:dyDescent="0.25">
      <c r="A9" s="143"/>
      <c r="B9" s="144"/>
      <c r="C9" s="144"/>
      <c r="D9" s="144">
        <v>0</v>
      </c>
      <c r="E9" s="144"/>
      <c r="F9" s="144"/>
      <c r="G9" s="144"/>
      <c r="H9" s="151" t="s">
        <v>31</v>
      </c>
      <c r="I9" s="235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5"/>
      <c r="AC9" s="145"/>
      <c r="AD9" s="145"/>
      <c r="AE9" s="145"/>
      <c r="AF9" s="145"/>
      <c r="AG9" s="145"/>
      <c r="AH9" s="145"/>
      <c r="AI9" s="148"/>
      <c r="AJ9" s="145"/>
      <c r="AK9" s="148"/>
      <c r="AL9" s="148"/>
      <c r="AM9" s="148"/>
      <c r="AN9" s="148"/>
      <c r="AO9" s="148"/>
      <c r="AP9" s="148"/>
      <c r="AQ9" s="148"/>
      <c r="AR9" s="148"/>
      <c r="AS9" s="149"/>
      <c r="AT9" s="130"/>
      <c r="AU9" s="11"/>
      <c r="AV9" s="11"/>
      <c r="AW9" s="11"/>
      <c r="AX9" s="11"/>
      <c r="AY9" s="11"/>
      <c r="AZ9" s="11"/>
      <c r="BA9" s="11"/>
      <c r="BB9" s="11"/>
    </row>
    <row r="10" spans="1:54" s="111" customFormat="1" x14ac:dyDescent="0.25">
      <c r="A10" s="143"/>
      <c r="B10" s="144"/>
      <c r="C10" s="144"/>
      <c r="D10" s="144"/>
      <c r="E10" s="144">
        <v>1</v>
      </c>
      <c r="F10" s="144">
        <v>0</v>
      </c>
      <c r="G10" s="144"/>
      <c r="H10" s="151" t="s">
        <v>59</v>
      </c>
      <c r="I10" s="234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5">
        <v>203985582.03999999</v>
      </c>
      <c r="AC10" s="145">
        <v>50000000</v>
      </c>
      <c r="AD10" s="145">
        <v>50000000</v>
      </c>
      <c r="AE10" s="145">
        <v>26353931</v>
      </c>
      <c r="AF10" s="145">
        <f>22119837.21+AS10</f>
        <v>24751722.580000002</v>
      </c>
      <c r="AG10" s="145">
        <f>+AS10</f>
        <v>2631885.37</v>
      </c>
      <c r="AH10" s="148">
        <v>1540234.92</v>
      </c>
      <c r="AI10" s="148">
        <v>2050377.78</v>
      </c>
      <c r="AJ10" s="148">
        <v>1625642.52</v>
      </c>
      <c r="AK10" s="148">
        <v>1648961.27</v>
      </c>
      <c r="AL10" s="148">
        <v>585292.71</v>
      </c>
      <c r="AM10" s="148">
        <v>585292.71</v>
      </c>
      <c r="AN10" s="148">
        <v>4673020.46</v>
      </c>
      <c r="AO10" s="148">
        <v>1081878.3700000001</v>
      </c>
      <c r="AP10" s="148">
        <v>1029533.45</v>
      </c>
      <c r="AQ10" s="148">
        <v>1879020.76</v>
      </c>
      <c r="AR10" s="192">
        <v>3499927.65</v>
      </c>
      <c r="AS10" s="149">
        <v>2631885.37</v>
      </c>
      <c r="AT10" s="130"/>
      <c r="AU10" s="9">
        <v>369</v>
      </c>
      <c r="AV10" s="9">
        <v>203985582.03999999</v>
      </c>
      <c r="AW10" s="9">
        <v>369</v>
      </c>
      <c r="AX10" s="9">
        <v>203985582.03999999</v>
      </c>
      <c r="AY10" s="9">
        <v>369</v>
      </c>
      <c r="AZ10" s="9">
        <v>203985582.03999999</v>
      </c>
      <c r="BA10" s="9">
        <v>369</v>
      </c>
      <c r="BB10" s="9">
        <v>203985582.03999999</v>
      </c>
    </row>
    <row r="11" spans="1:54" s="111" customFormat="1" x14ac:dyDescent="0.25">
      <c r="A11" s="143">
        <v>4</v>
      </c>
      <c r="B11" s="144"/>
      <c r="C11" s="144"/>
      <c r="D11" s="144"/>
      <c r="E11" s="144"/>
      <c r="F11" s="144"/>
      <c r="G11" s="144">
        <v>1</v>
      </c>
      <c r="H11" s="151" t="s">
        <v>60</v>
      </c>
      <c r="I11" s="236" t="s">
        <v>34</v>
      </c>
      <c r="J11" s="145">
        <f>J12</f>
        <v>369</v>
      </c>
      <c r="K11" s="145">
        <f t="shared" ref="K11:Y11" si="0">K12</f>
        <v>225</v>
      </c>
      <c r="L11" s="145">
        <f t="shared" si="0"/>
        <v>225</v>
      </c>
      <c r="M11" s="145">
        <f t="shared" si="0"/>
        <v>224</v>
      </c>
      <c r="N11" s="145">
        <f>SUM(P11:AA11)</f>
        <v>216</v>
      </c>
      <c r="O11" s="145">
        <f>+AA11</f>
        <v>128</v>
      </c>
      <c r="P11" s="145">
        <f t="shared" si="0"/>
        <v>0</v>
      </c>
      <c r="Q11" s="145">
        <f t="shared" si="0"/>
        <v>6</v>
      </c>
      <c r="R11" s="145">
        <f t="shared" si="0"/>
        <v>0</v>
      </c>
      <c r="S11" s="145">
        <f t="shared" si="0"/>
        <v>0</v>
      </c>
      <c r="T11" s="145">
        <f t="shared" si="0"/>
        <v>3</v>
      </c>
      <c r="U11" s="145">
        <f>U12</f>
        <v>0</v>
      </c>
      <c r="V11" s="145">
        <f t="shared" si="0"/>
        <v>0</v>
      </c>
      <c r="W11" s="145">
        <f t="shared" si="0"/>
        <v>51</v>
      </c>
      <c r="X11" s="145">
        <f t="shared" si="0"/>
        <v>0</v>
      </c>
      <c r="Y11" s="145">
        <f t="shared" si="0"/>
        <v>0</v>
      </c>
      <c r="Z11" s="145">
        <v>28</v>
      </c>
      <c r="AA11" s="145">
        <v>128</v>
      </c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6"/>
      <c r="AT11" s="130"/>
      <c r="AU11" s="9"/>
      <c r="AV11" s="9"/>
      <c r="AW11" s="9"/>
      <c r="AX11" s="9"/>
      <c r="AY11" s="9"/>
      <c r="AZ11" s="9"/>
      <c r="BA11" s="9"/>
      <c r="BB11" s="9"/>
    </row>
    <row r="12" spans="1:54" s="111" customFormat="1" x14ac:dyDescent="0.25">
      <c r="A12" s="143"/>
      <c r="B12" s="144"/>
      <c r="C12" s="144"/>
      <c r="D12" s="144"/>
      <c r="E12" s="144"/>
      <c r="F12" s="144"/>
      <c r="G12" s="147">
        <v>2</v>
      </c>
      <c r="H12" s="150" t="s">
        <v>60</v>
      </c>
      <c r="I12" s="234" t="s">
        <v>34</v>
      </c>
      <c r="J12" s="148">
        <v>369</v>
      </c>
      <c r="K12" s="148">
        <v>225</v>
      </c>
      <c r="L12" s="148">
        <v>225</v>
      </c>
      <c r="M12" s="148">
        <v>224</v>
      </c>
      <c r="N12" s="148">
        <f>SUM(P12:AA12)</f>
        <v>216</v>
      </c>
      <c r="O12" s="148">
        <f>+AA12</f>
        <v>128</v>
      </c>
      <c r="P12" s="148">
        <v>0</v>
      </c>
      <c r="Q12" s="148">
        <v>6</v>
      </c>
      <c r="R12" s="148">
        <v>0</v>
      </c>
      <c r="S12" s="148">
        <v>0</v>
      </c>
      <c r="T12" s="148">
        <v>3</v>
      </c>
      <c r="U12" s="148">
        <v>0</v>
      </c>
      <c r="V12" s="148">
        <v>0</v>
      </c>
      <c r="W12" s="148">
        <v>51</v>
      </c>
      <c r="X12" s="148">
        <v>0</v>
      </c>
      <c r="Y12" s="148">
        <v>0</v>
      </c>
      <c r="Z12" s="148">
        <v>28</v>
      </c>
      <c r="AA12" s="148">
        <v>128</v>
      </c>
      <c r="AB12" s="145"/>
      <c r="AC12" s="145"/>
      <c r="AD12" s="145"/>
      <c r="AE12" s="145"/>
      <c r="AF12" s="145"/>
      <c r="AG12" s="145"/>
      <c r="AH12" s="145"/>
      <c r="AI12" s="145"/>
      <c r="AJ12" s="145"/>
      <c r="AK12" s="148"/>
      <c r="AL12" s="148"/>
      <c r="AM12" s="148"/>
      <c r="AN12" s="148"/>
      <c r="AO12" s="148"/>
      <c r="AP12" s="148"/>
      <c r="AQ12" s="148"/>
      <c r="AR12" s="148"/>
      <c r="AS12" s="149"/>
      <c r="AT12" s="130"/>
      <c r="AU12" s="11"/>
      <c r="AV12" s="11"/>
      <c r="AW12" s="11"/>
      <c r="AX12" s="11"/>
      <c r="AY12" s="11"/>
      <c r="AZ12" s="11"/>
      <c r="BA12" s="11"/>
      <c r="BB12" s="11"/>
    </row>
    <row r="13" spans="1:54" s="111" customFormat="1" x14ac:dyDescent="0.25">
      <c r="A13" s="143"/>
      <c r="B13" s="144"/>
      <c r="C13" s="144"/>
      <c r="D13" s="144"/>
      <c r="E13" s="144">
        <v>2</v>
      </c>
      <c r="F13" s="144">
        <v>0</v>
      </c>
      <c r="G13" s="144"/>
      <c r="H13" s="151" t="s">
        <v>207</v>
      </c>
      <c r="I13" s="234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5">
        <v>875000000</v>
      </c>
      <c r="AC13" s="145">
        <v>496937000</v>
      </c>
      <c r="AD13" s="145">
        <v>529394000</v>
      </c>
      <c r="AE13" s="145">
        <v>281840000</v>
      </c>
      <c r="AF13" s="145">
        <f>235357700+AS13</f>
        <v>278779700</v>
      </c>
      <c r="AG13" s="145">
        <f>+AS13</f>
        <v>43422000</v>
      </c>
      <c r="AH13" s="148">
        <v>3976000</v>
      </c>
      <c r="AI13" s="148">
        <v>5674500</v>
      </c>
      <c r="AJ13" s="148">
        <v>821100</v>
      </c>
      <c r="AK13" s="148">
        <v>66763100</v>
      </c>
      <c r="AL13" s="148">
        <v>0</v>
      </c>
      <c r="AM13" s="148">
        <v>0</v>
      </c>
      <c r="AN13" s="148">
        <v>79600700</v>
      </c>
      <c r="AO13" s="148">
        <v>49956000</v>
      </c>
      <c r="AP13" s="148">
        <v>0</v>
      </c>
      <c r="AQ13" s="148">
        <v>45304500</v>
      </c>
      <c r="AR13" s="148">
        <v>60496500</v>
      </c>
      <c r="AS13" s="149">
        <v>43422000</v>
      </c>
      <c r="AT13" s="130"/>
      <c r="AU13" s="9">
        <v>25000</v>
      </c>
      <c r="AV13" s="9">
        <v>875000000</v>
      </c>
      <c r="AW13" s="9">
        <v>25000</v>
      </c>
      <c r="AX13" s="9">
        <v>875000000</v>
      </c>
      <c r="AY13" s="9">
        <v>25000</v>
      </c>
      <c r="AZ13" s="9">
        <v>875000000</v>
      </c>
      <c r="BA13" s="9">
        <v>25000</v>
      </c>
      <c r="BB13" s="9">
        <v>875000000</v>
      </c>
    </row>
    <row r="14" spans="1:54" s="111" customFormat="1" ht="30" x14ac:dyDescent="0.25">
      <c r="A14" s="143">
        <v>4</v>
      </c>
      <c r="B14" s="144"/>
      <c r="C14" s="144"/>
      <c r="D14" s="144"/>
      <c r="E14" s="144"/>
      <c r="F14" s="144"/>
      <c r="G14" s="144">
        <v>1</v>
      </c>
      <c r="H14" s="151" t="s">
        <v>208</v>
      </c>
      <c r="I14" s="236" t="s">
        <v>187</v>
      </c>
      <c r="J14" s="145">
        <f t="shared" ref="J14:W14" si="1">SUM(J15:J19)</f>
        <v>25485</v>
      </c>
      <c r="K14" s="145">
        <f t="shared" si="1"/>
        <v>14182</v>
      </c>
      <c r="L14" s="145">
        <f t="shared" si="1"/>
        <v>14152</v>
      </c>
      <c r="M14" s="145">
        <v>8852</v>
      </c>
      <c r="N14" s="145">
        <f>SUM(P14:AA14)</f>
        <v>8311</v>
      </c>
      <c r="O14" s="145">
        <f t="shared" ref="O14:O19" si="2">+AA14</f>
        <v>2862</v>
      </c>
      <c r="P14" s="145">
        <f t="shared" si="1"/>
        <v>0</v>
      </c>
      <c r="Q14" s="145">
        <f t="shared" si="1"/>
        <v>76</v>
      </c>
      <c r="R14" s="145">
        <f t="shared" si="1"/>
        <v>68</v>
      </c>
      <c r="S14" s="145">
        <f t="shared" si="1"/>
        <v>305</v>
      </c>
      <c r="T14" s="145">
        <f t="shared" si="1"/>
        <v>1639</v>
      </c>
      <c r="U14" s="145">
        <f t="shared" si="1"/>
        <v>0</v>
      </c>
      <c r="V14" s="145">
        <v>428</v>
      </c>
      <c r="W14" s="145">
        <f t="shared" si="1"/>
        <v>1474</v>
      </c>
      <c r="X14" s="145">
        <v>0</v>
      </c>
      <c r="Y14" s="145">
        <v>973</v>
      </c>
      <c r="Z14" s="145">
        <v>486</v>
      </c>
      <c r="AA14" s="145">
        <v>2862</v>
      </c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6"/>
      <c r="AT14" s="130"/>
      <c r="AU14" s="9"/>
      <c r="AV14" s="112"/>
      <c r="AW14" s="9"/>
      <c r="AX14" s="112"/>
      <c r="AY14" s="9"/>
      <c r="AZ14" s="112"/>
      <c r="BA14" s="9"/>
      <c r="BB14" s="112"/>
    </row>
    <row r="15" spans="1:54" s="111" customFormat="1" ht="27" x14ac:dyDescent="0.25">
      <c r="A15" s="143"/>
      <c r="B15" s="144"/>
      <c r="C15" s="144"/>
      <c r="D15" s="144"/>
      <c r="E15" s="144"/>
      <c r="F15" s="144"/>
      <c r="G15" s="147">
        <v>2</v>
      </c>
      <c r="H15" s="150" t="s">
        <v>209</v>
      </c>
      <c r="I15" s="234" t="s">
        <v>187</v>
      </c>
      <c r="J15" s="148">
        <v>970</v>
      </c>
      <c r="K15" s="148">
        <v>398</v>
      </c>
      <c r="L15" s="148">
        <v>398</v>
      </c>
      <c r="M15" s="148">
        <v>62</v>
      </c>
      <c r="N15" s="148">
        <f>SUM(P15:AA15)</f>
        <v>44</v>
      </c>
      <c r="O15" s="148">
        <f t="shared" si="2"/>
        <v>29</v>
      </c>
      <c r="P15" s="148">
        <v>0</v>
      </c>
      <c r="Q15" s="148">
        <v>0</v>
      </c>
      <c r="R15" s="148">
        <v>0</v>
      </c>
      <c r="S15" s="148">
        <v>0</v>
      </c>
      <c r="T15" s="148">
        <v>0</v>
      </c>
      <c r="U15" s="148">
        <v>0</v>
      </c>
      <c r="V15" s="148">
        <v>0</v>
      </c>
      <c r="W15" s="148">
        <v>0</v>
      </c>
      <c r="X15" s="148">
        <v>0</v>
      </c>
      <c r="Y15" s="148">
        <v>15</v>
      </c>
      <c r="Z15" s="148">
        <v>0</v>
      </c>
      <c r="AA15" s="148">
        <v>29</v>
      </c>
      <c r="AB15" s="145"/>
      <c r="AC15" s="145"/>
      <c r="AD15" s="145"/>
      <c r="AE15" s="145"/>
      <c r="AF15" s="145"/>
      <c r="AG15" s="145"/>
      <c r="AH15" s="145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9"/>
      <c r="AT15" s="130"/>
      <c r="AU15" s="11"/>
      <c r="AV15" s="152"/>
      <c r="AW15" s="11"/>
      <c r="AX15" s="152"/>
      <c r="AY15" s="11"/>
      <c r="AZ15" s="152"/>
      <c r="BA15" s="11"/>
      <c r="BB15" s="152"/>
    </row>
    <row r="16" spans="1:54" s="111" customFormat="1" ht="27" x14ac:dyDescent="0.25">
      <c r="A16" s="143"/>
      <c r="B16" s="144"/>
      <c r="C16" s="144"/>
      <c r="D16" s="144"/>
      <c r="E16" s="144"/>
      <c r="F16" s="144"/>
      <c r="G16" s="147">
        <v>3</v>
      </c>
      <c r="H16" s="150" t="s">
        <v>210</v>
      </c>
      <c r="I16" s="234" t="s">
        <v>187</v>
      </c>
      <c r="J16" s="148">
        <v>751</v>
      </c>
      <c r="K16" s="148">
        <v>364</v>
      </c>
      <c r="L16" s="148">
        <v>364</v>
      </c>
      <c r="M16" s="148">
        <v>34</v>
      </c>
      <c r="N16" s="148">
        <f>SUM(P16:AA16)</f>
        <v>0</v>
      </c>
      <c r="O16" s="148">
        <f t="shared" si="2"/>
        <v>0</v>
      </c>
      <c r="P16" s="148">
        <v>0</v>
      </c>
      <c r="Q16" s="148">
        <v>0</v>
      </c>
      <c r="R16" s="148">
        <v>0</v>
      </c>
      <c r="S16" s="148">
        <v>0</v>
      </c>
      <c r="T16" s="148">
        <v>0</v>
      </c>
      <c r="U16" s="148">
        <v>0</v>
      </c>
      <c r="V16" s="148">
        <v>0</v>
      </c>
      <c r="W16" s="148">
        <v>0</v>
      </c>
      <c r="X16" s="148">
        <v>0</v>
      </c>
      <c r="Y16" s="148">
        <v>0</v>
      </c>
      <c r="Z16" s="148">
        <v>0</v>
      </c>
      <c r="AA16" s="148">
        <v>0</v>
      </c>
      <c r="AB16" s="145"/>
      <c r="AC16" s="145"/>
      <c r="AD16" s="145"/>
      <c r="AE16" s="145"/>
      <c r="AF16" s="145"/>
      <c r="AG16" s="145"/>
      <c r="AH16" s="145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9"/>
      <c r="AT16" s="130"/>
      <c r="AU16" s="11"/>
      <c r="AV16" s="152"/>
      <c r="AW16" s="11"/>
      <c r="AX16" s="152"/>
      <c r="AY16" s="11"/>
      <c r="AZ16" s="152"/>
      <c r="BA16" s="11"/>
      <c r="BB16" s="152"/>
    </row>
    <row r="17" spans="1:67" s="111" customFormat="1" ht="27" x14ac:dyDescent="0.25">
      <c r="A17" s="143"/>
      <c r="B17" s="144"/>
      <c r="C17" s="144"/>
      <c r="D17" s="144"/>
      <c r="E17" s="144"/>
      <c r="F17" s="144"/>
      <c r="G17" s="147">
        <v>4</v>
      </c>
      <c r="H17" s="150" t="s">
        <v>211</v>
      </c>
      <c r="I17" s="234" t="s">
        <v>187</v>
      </c>
      <c r="J17" s="148">
        <v>500</v>
      </c>
      <c r="K17" s="148">
        <v>450</v>
      </c>
      <c r="L17" s="148">
        <v>420</v>
      </c>
      <c r="M17" s="148">
        <v>0</v>
      </c>
      <c r="N17" s="148">
        <f>SUM(P17:AA17)</f>
        <v>0</v>
      </c>
      <c r="O17" s="148">
        <f t="shared" si="2"/>
        <v>0</v>
      </c>
      <c r="P17" s="148">
        <v>0</v>
      </c>
      <c r="Q17" s="148">
        <v>0</v>
      </c>
      <c r="R17" s="148">
        <v>0</v>
      </c>
      <c r="S17" s="148">
        <v>0</v>
      </c>
      <c r="T17" s="148">
        <v>0</v>
      </c>
      <c r="U17" s="148">
        <v>0</v>
      </c>
      <c r="V17" s="148">
        <v>0</v>
      </c>
      <c r="W17" s="148">
        <v>0</v>
      </c>
      <c r="X17" s="148">
        <v>0</v>
      </c>
      <c r="Y17" s="148">
        <v>0</v>
      </c>
      <c r="Z17" s="148">
        <v>0</v>
      </c>
      <c r="AA17" s="148">
        <v>0</v>
      </c>
      <c r="AB17" s="145"/>
      <c r="AC17" s="145"/>
      <c r="AD17" s="145"/>
      <c r="AE17" s="145"/>
      <c r="AF17" s="145"/>
      <c r="AG17" s="145"/>
      <c r="AH17" s="145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9"/>
      <c r="AT17" s="130"/>
      <c r="AU17" s="11"/>
      <c r="AV17" s="152"/>
      <c r="AW17" s="11"/>
      <c r="AX17" s="152"/>
      <c r="AY17" s="11"/>
      <c r="AZ17" s="152"/>
      <c r="BA17" s="11"/>
      <c r="BB17" s="152"/>
    </row>
    <row r="18" spans="1:67" s="111" customFormat="1" ht="27" x14ac:dyDescent="0.25">
      <c r="A18" s="143"/>
      <c r="B18" s="144"/>
      <c r="C18" s="144"/>
      <c r="D18" s="144"/>
      <c r="E18" s="144"/>
      <c r="F18" s="144"/>
      <c r="G18" s="147">
        <v>5</v>
      </c>
      <c r="H18" s="150" t="s">
        <v>212</v>
      </c>
      <c r="I18" s="234" t="s">
        <v>187</v>
      </c>
      <c r="J18" s="148">
        <v>556</v>
      </c>
      <c r="K18" s="148">
        <v>1250</v>
      </c>
      <c r="L18" s="148">
        <v>1250</v>
      </c>
      <c r="M18" s="148">
        <v>30</v>
      </c>
      <c r="N18" s="148">
        <f>SUM(P18:AA18)</f>
        <v>0</v>
      </c>
      <c r="O18" s="148">
        <f t="shared" si="2"/>
        <v>0</v>
      </c>
      <c r="P18" s="148">
        <v>0</v>
      </c>
      <c r="Q18" s="148">
        <v>0</v>
      </c>
      <c r="R18" s="148">
        <v>0</v>
      </c>
      <c r="S18" s="148">
        <v>0</v>
      </c>
      <c r="T18" s="148">
        <v>0</v>
      </c>
      <c r="U18" s="148">
        <v>0</v>
      </c>
      <c r="V18" s="148">
        <v>0</v>
      </c>
      <c r="W18" s="148">
        <v>0</v>
      </c>
      <c r="X18" s="148">
        <v>0</v>
      </c>
      <c r="Y18" s="148">
        <v>0</v>
      </c>
      <c r="Z18" s="148">
        <v>0</v>
      </c>
      <c r="AA18" s="148">
        <v>0</v>
      </c>
      <c r="AB18" s="145"/>
      <c r="AC18" s="145"/>
      <c r="AD18" s="145"/>
      <c r="AE18" s="145"/>
      <c r="AF18" s="145"/>
      <c r="AG18" s="145"/>
      <c r="AH18" s="145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9"/>
      <c r="AT18" s="130"/>
      <c r="AU18" s="11"/>
      <c r="AV18" s="152"/>
      <c r="AW18" s="11"/>
      <c r="AX18" s="152"/>
      <c r="AY18" s="11"/>
      <c r="AZ18" s="152"/>
      <c r="BA18" s="11"/>
      <c r="BB18" s="152"/>
    </row>
    <row r="19" spans="1:67" s="111" customFormat="1" ht="27" x14ac:dyDescent="0.25">
      <c r="A19" s="143"/>
      <c r="B19" s="144"/>
      <c r="C19" s="144"/>
      <c r="D19" s="144"/>
      <c r="E19" s="144"/>
      <c r="F19" s="144"/>
      <c r="G19" s="147">
        <v>7</v>
      </c>
      <c r="H19" s="150" t="s">
        <v>213</v>
      </c>
      <c r="I19" s="234" t="s">
        <v>187</v>
      </c>
      <c r="J19" s="148">
        <v>22708</v>
      </c>
      <c r="K19" s="148">
        <v>11720</v>
      </c>
      <c r="L19" s="148">
        <v>11720</v>
      </c>
      <c r="M19" s="148">
        <v>8726</v>
      </c>
      <c r="N19" s="148">
        <f>4948+O19+Z19</f>
        <v>8267</v>
      </c>
      <c r="O19" s="148">
        <f t="shared" si="2"/>
        <v>2833</v>
      </c>
      <c r="P19" s="148">
        <v>0</v>
      </c>
      <c r="Q19" s="148">
        <v>76</v>
      </c>
      <c r="R19" s="148">
        <v>68</v>
      </c>
      <c r="S19" s="148">
        <v>305</v>
      </c>
      <c r="T19" s="148">
        <v>1639</v>
      </c>
      <c r="U19" s="148">
        <v>0</v>
      </c>
      <c r="V19" s="148">
        <v>0</v>
      </c>
      <c r="W19" s="148">
        <v>1474</v>
      </c>
      <c r="X19" s="148">
        <v>0</v>
      </c>
      <c r="Y19" s="148">
        <v>958</v>
      </c>
      <c r="Z19" s="148">
        <v>486</v>
      </c>
      <c r="AA19" s="148">
        <v>2833</v>
      </c>
      <c r="AB19" s="145"/>
      <c r="AC19" s="145"/>
      <c r="AD19" s="145"/>
      <c r="AE19" s="145"/>
      <c r="AF19" s="145"/>
      <c r="AG19" s="145"/>
      <c r="AH19" s="145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9"/>
      <c r="AT19" s="130"/>
      <c r="AU19" s="11"/>
      <c r="AV19" s="152"/>
      <c r="AW19" s="11"/>
      <c r="AX19" s="152"/>
      <c r="AY19" s="11"/>
      <c r="AZ19" s="152"/>
      <c r="BA19" s="11"/>
      <c r="BB19" s="152"/>
    </row>
    <row r="20" spans="1:67" s="111" customFormat="1" ht="30" x14ac:dyDescent="0.25">
      <c r="A20" s="4"/>
      <c r="B20" s="5">
        <v>94</v>
      </c>
      <c r="C20" s="5"/>
      <c r="D20" s="5"/>
      <c r="E20" s="5"/>
      <c r="F20" s="5"/>
      <c r="G20" s="5"/>
      <c r="H20" s="53" t="s">
        <v>231</v>
      </c>
      <c r="I20" s="237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10"/>
      <c r="AT20"/>
      <c r="AU20" s="56"/>
      <c r="AV20" s="56"/>
      <c r="AW20" s="56"/>
      <c r="AX20" s="56"/>
      <c r="AY20" s="56"/>
      <c r="AZ20" s="56"/>
      <c r="BA20" s="56"/>
      <c r="BB20" s="56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7" ht="45" x14ac:dyDescent="0.25">
      <c r="A21" s="4"/>
      <c r="B21" s="5"/>
      <c r="C21" s="5"/>
      <c r="D21" s="5"/>
      <c r="E21" s="5">
        <v>1</v>
      </c>
      <c r="F21" s="5"/>
      <c r="G21" s="5"/>
      <c r="H21" s="53" t="s">
        <v>233</v>
      </c>
      <c r="I21" s="237" t="s">
        <v>64</v>
      </c>
      <c r="J21" s="9"/>
      <c r="K21" s="9"/>
      <c r="L21" s="9">
        <f>+L22</f>
        <v>0</v>
      </c>
      <c r="M21" s="9">
        <v>407</v>
      </c>
      <c r="N21" s="9">
        <f>+N22</f>
        <v>129</v>
      </c>
      <c r="O21" s="9">
        <f>+AA21</f>
        <v>43</v>
      </c>
      <c r="P21" s="9"/>
      <c r="Q21" s="9"/>
      <c r="R21" s="9"/>
      <c r="S21" s="9"/>
      <c r="T21" s="9"/>
      <c r="U21" s="9"/>
      <c r="V21" s="9"/>
      <c r="W21" s="9"/>
      <c r="X21" s="9"/>
      <c r="Y21" s="9">
        <f>+Y22</f>
        <v>0</v>
      </c>
      <c r="Z21" s="9">
        <v>86</v>
      </c>
      <c r="AA21" s="9">
        <v>43</v>
      </c>
      <c r="AB21" s="9"/>
      <c r="AC21" s="9"/>
      <c r="AD21" s="9">
        <v>0</v>
      </c>
      <c r="AE21" s="9">
        <v>15554000</v>
      </c>
      <c r="AF21" s="9">
        <v>4762450</v>
      </c>
      <c r="AG21" s="9">
        <f>+AS21</f>
        <v>119350</v>
      </c>
      <c r="AH21" s="11"/>
      <c r="AI21" s="11"/>
      <c r="AJ21" s="11"/>
      <c r="AK21" s="11"/>
      <c r="AL21" s="11"/>
      <c r="AM21" s="11"/>
      <c r="AN21" s="11"/>
      <c r="AO21" s="11"/>
      <c r="AP21" s="11">
        <v>0</v>
      </c>
      <c r="AQ21" s="11">
        <v>0</v>
      </c>
      <c r="AR21" s="56">
        <v>4643100</v>
      </c>
      <c r="AS21" s="305">
        <v>119350</v>
      </c>
      <c r="AU21" s="200"/>
      <c r="AV21" s="200"/>
      <c r="AW21" s="200"/>
      <c r="AX21" s="200"/>
      <c r="AY21" s="200"/>
      <c r="AZ21" s="200"/>
      <c r="BA21" s="200"/>
      <c r="BB21" s="200"/>
    </row>
    <row r="22" spans="1:67" ht="41.25" thickBot="1" x14ac:dyDescent="0.3">
      <c r="A22" s="102"/>
      <c r="B22" s="109"/>
      <c r="C22" s="109"/>
      <c r="D22" s="109"/>
      <c r="E22" s="109"/>
      <c r="F22" s="109"/>
      <c r="G22" s="61">
        <v>3</v>
      </c>
      <c r="H22" s="103" t="s">
        <v>264</v>
      </c>
      <c r="I22" s="241" t="s">
        <v>187</v>
      </c>
      <c r="J22" s="15">
        <v>35444</v>
      </c>
      <c r="K22" s="15">
        <v>10406</v>
      </c>
      <c r="L22" s="15">
        <v>0</v>
      </c>
      <c r="M22" s="15">
        <v>407</v>
      </c>
      <c r="N22" s="15">
        <f>+SUM(P22:AA22)</f>
        <v>129</v>
      </c>
      <c r="O22" s="15">
        <f>+AA22</f>
        <v>43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86</v>
      </c>
      <c r="AA22" s="15">
        <v>43</v>
      </c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242"/>
      <c r="AS22" s="243"/>
      <c r="AU22" s="200"/>
      <c r="AV22" s="200"/>
      <c r="AW22" s="200"/>
      <c r="AX22" s="200"/>
      <c r="AY22" s="200"/>
      <c r="AZ22" s="200"/>
      <c r="BA22" s="200"/>
      <c r="BB22" s="200"/>
    </row>
    <row r="25" spans="1:67" x14ac:dyDescent="0.25">
      <c r="H25" s="154" t="s">
        <v>216</v>
      </c>
      <c r="J25">
        <f>86+7</f>
        <v>93</v>
      </c>
    </row>
    <row r="26" spans="1:67" x14ac:dyDescent="0.25">
      <c r="H26" s="154" t="s">
        <v>215</v>
      </c>
    </row>
    <row r="29" spans="1:67" ht="21" x14ac:dyDescent="0.35">
      <c r="H29" s="155" t="s">
        <v>229</v>
      </c>
    </row>
    <row r="30" spans="1:67" ht="21" x14ac:dyDescent="0.35">
      <c r="H30" s="155" t="s">
        <v>230</v>
      </c>
    </row>
  </sheetData>
  <mergeCells count="7">
    <mergeCell ref="AW5:AX5"/>
    <mergeCell ref="AY5:AZ5"/>
    <mergeCell ref="BA5:BB5"/>
    <mergeCell ref="A5:I5"/>
    <mergeCell ref="AU5:AV5"/>
    <mergeCell ref="J5:AA5"/>
    <mergeCell ref="AB5:AS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78DE-3F6F-4BDA-86C5-A4CFA2B15528}">
  <dimension ref="A1:BB34"/>
  <sheetViews>
    <sheetView zoomScale="85" zoomScaleNormal="85"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AS1" sqref="AS1:AS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4" width="13.7109375" customWidth="1"/>
    <col min="15" max="15" width="12.42578125" bestFit="1" customWidth="1"/>
    <col min="16" max="24" width="13.7109375" hidden="1" customWidth="1"/>
    <col min="25" max="25" width="12" hidden="1" customWidth="1"/>
    <col min="26" max="29" width="13.7109375" hidden="1" customWidth="1"/>
    <col min="30" max="32" width="13.7109375" customWidth="1"/>
    <col min="33" max="33" width="12.42578125" bestFit="1" customWidth="1"/>
    <col min="34" max="42" width="13.7109375" hidden="1" customWidth="1"/>
    <col min="43" max="43" width="12.7109375" hidden="1" customWidth="1"/>
    <col min="44" max="45" width="13.7109375" hidden="1" customWidth="1"/>
    <col min="46" max="46" width="13.7109375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  <col min="55" max="58" width="11.4257812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">
        <v>350</v>
      </c>
    </row>
    <row r="4" spans="1:54" ht="1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54" ht="15" customHeight="1" x14ac:dyDescent="0.25">
      <c r="A5" s="327" t="s">
        <v>0</v>
      </c>
      <c r="B5" s="328"/>
      <c r="C5" s="328"/>
      <c r="D5" s="328"/>
      <c r="E5" s="328"/>
      <c r="F5" s="328"/>
      <c r="G5" s="328"/>
      <c r="H5" s="328"/>
      <c r="I5" s="328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29" t="s">
        <v>2</v>
      </c>
      <c r="AC5" s="329"/>
      <c r="AD5" s="329"/>
      <c r="AE5" s="329"/>
      <c r="AF5" s="329"/>
      <c r="AG5" s="330"/>
      <c r="AH5" s="15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U5" s="326" t="s">
        <v>51</v>
      </c>
      <c r="AV5" s="326"/>
      <c r="AW5" s="326" t="s">
        <v>52</v>
      </c>
      <c r="AX5" s="326"/>
      <c r="AY5" s="326" t="s">
        <v>53</v>
      </c>
      <c r="AZ5" s="326"/>
      <c r="BA5" s="326" t="s">
        <v>55</v>
      </c>
      <c r="BB5" s="326"/>
    </row>
    <row r="6" spans="1:54" s="7" customFormat="1" ht="36.75" thickBot="1" x14ac:dyDescent="0.3">
      <c r="A6" s="238" t="s">
        <v>3</v>
      </c>
      <c r="B6" s="229" t="s">
        <v>4</v>
      </c>
      <c r="C6" s="229" t="s">
        <v>5</v>
      </c>
      <c r="D6" s="229" t="s">
        <v>6</v>
      </c>
      <c r="E6" s="229" t="s">
        <v>7</v>
      </c>
      <c r="F6" s="229" t="s">
        <v>8</v>
      </c>
      <c r="G6" s="229" t="s">
        <v>9</v>
      </c>
      <c r="H6" s="231" t="s">
        <v>10</v>
      </c>
      <c r="I6" s="231" t="s">
        <v>11</v>
      </c>
      <c r="J6" s="231" t="s">
        <v>12</v>
      </c>
      <c r="K6" s="231" t="s">
        <v>65</v>
      </c>
      <c r="L6" s="232" t="s">
        <v>13</v>
      </c>
      <c r="M6" s="232" t="s">
        <v>14</v>
      </c>
      <c r="N6" s="233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3" t="s">
        <v>22</v>
      </c>
      <c r="V6" s="233" t="s">
        <v>23</v>
      </c>
      <c r="W6" s="233" t="s">
        <v>24</v>
      </c>
      <c r="X6" s="233" t="s">
        <v>25</v>
      </c>
      <c r="Y6" s="233" t="s">
        <v>26</v>
      </c>
      <c r="Z6" s="233" t="s">
        <v>27</v>
      </c>
      <c r="AA6" s="233" t="s">
        <v>28</v>
      </c>
      <c r="AB6" s="232" t="s">
        <v>12</v>
      </c>
      <c r="AC6" s="232" t="s">
        <v>65</v>
      </c>
      <c r="AD6" s="232" t="s">
        <v>13</v>
      </c>
      <c r="AE6" s="232" t="s">
        <v>14</v>
      </c>
      <c r="AF6" s="233" t="s">
        <v>15</v>
      </c>
      <c r="AG6" s="239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/>
      <c r="AU6" s="45" t="s">
        <v>54</v>
      </c>
      <c r="AV6" s="46" t="s">
        <v>2</v>
      </c>
      <c r="AW6" s="45" t="s">
        <v>54</v>
      </c>
      <c r="AX6" s="46" t="s">
        <v>2</v>
      </c>
      <c r="AY6" s="45" t="s">
        <v>54</v>
      </c>
      <c r="AZ6" s="46" t="s">
        <v>2</v>
      </c>
      <c r="BA6" s="45" t="s">
        <v>54</v>
      </c>
      <c r="BB6" s="46" t="s">
        <v>2</v>
      </c>
    </row>
    <row r="7" spans="1:54" ht="15.75" x14ac:dyDescent="0.3">
      <c r="A7" s="4"/>
      <c r="B7" s="5">
        <v>1</v>
      </c>
      <c r="C7" s="5"/>
      <c r="D7" s="5"/>
      <c r="E7" s="5"/>
      <c r="F7" s="5"/>
      <c r="G7" s="5"/>
      <c r="H7" s="271" t="s">
        <v>29</v>
      </c>
      <c r="I7" s="272"/>
      <c r="J7" s="273"/>
      <c r="K7" s="273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9"/>
      <c r="AC7" s="9"/>
      <c r="AD7" s="9"/>
      <c r="AE7" s="9"/>
      <c r="AF7" s="9"/>
      <c r="AG7" s="10"/>
      <c r="AH7" s="189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U7" s="34"/>
      <c r="AV7" s="35"/>
      <c r="AW7" s="34"/>
      <c r="AX7" s="35"/>
      <c r="AY7" s="34"/>
      <c r="AZ7" s="35"/>
      <c r="BA7" s="34"/>
      <c r="BB7" s="35"/>
    </row>
    <row r="8" spans="1:54" ht="15.75" x14ac:dyDescent="0.3">
      <c r="A8" s="4"/>
      <c r="B8" s="5"/>
      <c r="C8" s="5">
        <v>0</v>
      </c>
      <c r="D8" s="5"/>
      <c r="E8" s="5"/>
      <c r="F8" s="5"/>
      <c r="G8" s="5"/>
      <c r="H8" s="271" t="s">
        <v>30</v>
      </c>
      <c r="I8" s="275"/>
      <c r="J8" s="273"/>
      <c r="K8" s="273"/>
      <c r="L8" s="276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9"/>
      <c r="AC8" s="9"/>
      <c r="AD8" s="9"/>
      <c r="AE8" s="9"/>
      <c r="AF8" s="9"/>
      <c r="AG8" s="10"/>
      <c r="AH8" s="190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U8" s="34"/>
      <c r="AV8" s="35"/>
      <c r="AW8" s="34"/>
      <c r="AX8" s="35"/>
      <c r="AY8" s="34"/>
      <c r="AZ8" s="35"/>
      <c r="BA8" s="34"/>
      <c r="BB8" s="35"/>
    </row>
    <row r="9" spans="1:54" ht="15.75" x14ac:dyDescent="0.3">
      <c r="A9" s="4"/>
      <c r="B9" s="5"/>
      <c r="C9" s="5"/>
      <c r="D9" s="5">
        <v>0</v>
      </c>
      <c r="E9" s="5"/>
      <c r="F9" s="5"/>
      <c r="G9" s="5"/>
      <c r="H9" s="271" t="s">
        <v>31</v>
      </c>
      <c r="I9" s="275"/>
      <c r="J9" s="273"/>
      <c r="K9" s="273"/>
      <c r="L9" s="276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9"/>
      <c r="AC9" s="9"/>
      <c r="AD9" s="9"/>
      <c r="AE9" s="9"/>
      <c r="AF9" s="9"/>
      <c r="AG9" s="10"/>
      <c r="AH9" s="190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U9" s="34"/>
      <c r="AV9" s="35"/>
      <c r="AW9" s="34"/>
      <c r="AX9" s="35"/>
      <c r="AY9" s="34"/>
      <c r="AZ9" s="35"/>
      <c r="BA9" s="34"/>
      <c r="BB9" s="35"/>
    </row>
    <row r="10" spans="1:54" ht="15.75" x14ac:dyDescent="0.3">
      <c r="A10" s="4"/>
      <c r="B10" s="5"/>
      <c r="C10" s="5"/>
      <c r="D10" s="5"/>
      <c r="E10" s="5">
        <v>1</v>
      </c>
      <c r="F10" s="5">
        <v>0</v>
      </c>
      <c r="G10" s="5"/>
      <c r="H10" s="271" t="s">
        <v>32</v>
      </c>
      <c r="I10" s="275"/>
      <c r="J10" s="273"/>
      <c r="K10" s="273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9">
        <v>37089825</v>
      </c>
      <c r="AC10" s="9">
        <v>25219837</v>
      </c>
      <c r="AD10" s="9">
        <v>25219837</v>
      </c>
      <c r="AE10" s="9">
        <v>27253626</v>
      </c>
      <c r="AF10" s="9">
        <f>24218165.36+AS10</f>
        <v>26749598.949999999</v>
      </c>
      <c r="AG10" s="16">
        <f>+AS10</f>
        <v>2531433.59</v>
      </c>
      <c r="AH10" s="190">
        <v>0</v>
      </c>
      <c r="AI10" s="11">
        <v>1157.5</v>
      </c>
      <c r="AJ10" s="11">
        <v>26443.05</v>
      </c>
      <c r="AK10" s="11">
        <v>74656.5</v>
      </c>
      <c r="AL10" s="11">
        <v>15739.5</v>
      </c>
      <c r="AM10" s="11">
        <v>134684.75</v>
      </c>
      <c r="AN10" s="11">
        <v>10715</v>
      </c>
      <c r="AO10" s="11">
        <v>12720.4</v>
      </c>
      <c r="AP10" s="11">
        <v>2123404.9700000002</v>
      </c>
      <c r="AQ10" s="277">
        <v>2316430.56</v>
      </c>
      <c r="AR10" s="11">
        <v>2166066.81</v>
      </c>
      <c r="AS10" s="16">
        <v>2531433.59</v>
      </c>
      <c r="AU10" s="34"/>
      <c r="AV10" s="35"/>
      <c r="AW10" s="34"/>
      <c r="AX10" s="35"/>
      <c r="AY10" s="34"/>
      <c r="AZ10" s="35"/>
      <c r="BA10" s="34"/>
      <c r="BB10" s="35"/>
    </row>
    <row r="11" spans="1:54" ht="15.75" x14ac:dyDescent="0.3">
      <c r="A11" s="4">
        <v>4</v>
      </c>
      <c r="B11" s="5"/>
      <c r="C11" s="5"/>
      <c r="D11" s="5"/>
      <c r="E11" s="5"/>
      <c r="F11" s="5"/>
      <c r="G11" s="5">
        <v>1</v>
      </c>
      <c r="H11" s="271" t="s">
        <v>33</v>
      </c>
      <c r="I11" s="275" t="s">
        <v>34</v>
      </c>
      <c r="J11" s="273">
        <f>J12</f>
        <v>208</v>
      </c>
      <c r="K11" s="274">
        <f>K12</f>
        <v>208</v>
      </c>
      <c r="L11" s="274">
        <f>L12</f>
        <v>208</v>
      </c>
      <c r="M11" s="274">
        <f>M12</f>
        <v>340</v>
      </c>
      <c r="N11" s="274">
        <f>N12</f>
        <v>340</v>
      </c>
      <c r="O11" s="274">
        <f>+O12</f>
        <v>7</v>
      </c>
      <c r="P11" s="274">
        <f t="shared" ref="P11:AA11" si="0">P12</f>
        <v>0</v>
      </c>
      <c r="Q11" s="274">
        <f t="shared" si="0"/>
        <v>124</v>
      </c>
      <c r="R11" s="274">
        <f>R12</f>
        <v>18</v>
      </c>
      <c r="S11" s="274">
        <f t="shared" si="0"/>
        <v>16</v>
      </c>
      <c r="T11" s="274">
        <f t="shared" si="0"/>
        <v>15</v>
      </c>
      <c r="U11" s="274">
        <f>U12</f>
        <v>9</v>
      </c>
      <c r="V11" s="274">
        <f>V12</f>
        <v>6</v>
      </c>
      <c r="W11" s="274">
        <f t="shared" si="0"/>
        <v>21</v>
      </c>
      <c r="X11" s="274">
        <f>+X12</f>
        <v>6</v>
      </c>
      <c r="Y11" s="274">
        <v>6</v>
      </c>
      <c r="Z11" s="274">
        <f t="shared" si="0"/>
        <v>112</v>
      </c>
      <c r="AA11" s="274">
        <f t="shared" si="0"/>
        <v>7</v>
      </c>
      <c r="AB11" s="9"/>
      <c r="AC11" s="9"/>
      <c r="AD11" s="9"/>
      <c r="AE11" s="9"/>
      <c r="AF11" s="9"/>
      <c r="AG11" s="16"/>
      <c r="AH11" s="190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6"/>
      <c r="AU11" s="34">
        <f t="shared" ref="AU11:BB11" si="1">+AU12</f>
        <v>208</v>
      </c>
      <c r="AV11" s="35">
        <f t="shared" si="1"/>
        <v>37089825</v>
      </c>
      <c r="AW11" s="34">
        <f t="shared" si="1"/>
        <v>208</v>
      </c>
      <c r="AX11" s="35">
        <f t="shared" si="1"/>
        <v>37089825</v>
      </c>
      <c r="AY11" s="34">
        <f t="shared" si="1"/>
        <v>208</v>
      </c>
      <c r="AZ11" s="35">
        <f t="shared" si="1"/>
        <v>37089825</v>
      </c>
      <c r="BA11" s="34">
        <f t="shared" si="1"/>
        <v>208</v>
      </c>
      <c r="BB11" s="35">
        <f t="shared" si="1"/>
        <v>37089825</v>
      </c>
    </row>
    <row r="12" spans="1:54" x14ac:dyDescent="0.25">
      <c r="A12" s="4"/>
      <c r="B12" s="5"/>
      <c r="C12" s="5"/>
      <c r="D12" s="5"/>
      <c r="E12" s="5"/>
      <c r="F12" s="5"/>
      <c r="G12" s="6">
        <v>2</v>
      </c>
      <c r="H12" s="278" t="s">
        <v>33</v>
      </c>
      <c r="I12" s="279" t="s">
        <v>34</v>
      </c>
      <c r="J12" s="280">
        <v>208</v>
      </c>
      <c r="K12" s="281">
        <v>208</v>
      </c>
      <c r="L12" s="281">
        <v>208</v>
      </c>
      <c r="M12" s="281">
        <v>340</v>
      </c>
      <c r="N12" s="281">
        <f>+SUM(P12:AA12)</f>
        <v>340</v>
      </c>
      <c r="O12" s="274">
        <f>+AA12</f>
        <v>7</v>
      </c>
      <c r="P12" s="281">
        <v>0</v>
      </c>
      <c r="Q12" s="281">
        <v>124</v>
      </c>
      <c r="R12" s="281">
        <v>18</v>
      </c>
      <c r="S12" s="281">
        <v>16</v>
      </c>
      <c r="T12" s="281">
        <v>15</v>
      </c>
      <c r="U12" s="281">
        <v>9</v>
      </c>
      <c r="V12" s="281">
        <v>6</v>
      </c>
      <c r="W12" s="281">
        <v>21</v>
      </c>
      <c r="X12" s="281">
        <v>6</v>
      </c>
      <c r="Y12" s="281">
        <v>6</v>
      </c>
      <c r="Z12" s="281">
        <v>112</v>
      </c>
      <c r="AA12" s="281">
        <v>7</v>
      </c>
      <c r="AB12" s="9"/>
      <c r="AC12" s="9"/>
      <c r="AD12" s="9"/>
      <c r="AE12" s="9"/>
      <c r="AF12" s="9"/>
      <c r="AG12" s="16"/>
      <c r="AH12" s="190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6"/>
      <c r="AU12" s="36">
        <v>208</v>
      </c>
      <c r="AV12" s="37">
        <v>37089825</v>
      </c>
      <c r="AW12" s="36">
        <v>208</v>
      </c>
      <c r="AX12" s="37">
        <v>37089825</v>
      </c>
      <c r="AY12" s="36">
        <v>208</v>
      </c>
      <c r="AZ12" s="37">
        <v>37089825</v>
      </c>
      <c r="BA12" s="36">
        <v>208</v>
      </c>
      <c r="BB12" s="37">
        <v>37089825</v>
      </c>
    </row>
    <row r="13" spans="1:54" ht="15.75" x14ac:dyDescent="0.3">
      <c r="A13" s="4"/>
      <c r="B13" s="5"/>
      <c r="C13" s="5"/>
      <c r="D13" s="5"/>
      <c r="E13" s="5">
        <v>2</v>
      </c>
      <c r="F13" s="5">
        <v>0</v>
      </c>
      <c r="G13" s="5"/>
      <c r="H13" s="271" t="s">
        <v>35</v>
      </c>
      <c r="I13" s="275"/>
      <c r="J13" s="273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9">
        <v>20241530</v>
      </c>
      <c r="AC13" s="9">
        <v>13920466</v>
      </c>
      <c r="AD13" s="9">
        <v>13920466</v>
      </c>
      <c r="AE13" s="9">
        <v>17085757</v>
      </c>
      <c r="AF13" s="9">
        <f>14498259.97+AS13</f>
        <v>16330210.860000001</v>
      </c>
      <c r="AG13" s="16">
        <f>+AS13</f>
        <v>1831950.89</v>
      </c>
      <c r="AH13" s="190">
        <v>214693.49</v>
      </c>
      <c r="AI13" s="11">
        <v>652988.76</v>
      </c>
      <c r="AJ13" s="11">
        <v>748604.81</v>
      </c>
      <c r="AK13" s="11">
        <v>710323.64</v>
      </c>
      <c r="AL13" s="11">
        <v>803055.68</v>
      </c>
      <c r="AM13" s="11">
        <v>1012688.8</v>
      </c>
      <c r="AN13" s="11">
        <v>647524.12</v>
      </c>
      <c r="AO13" s="11">
        <v>1451922.89</v>
      </c>
      <c r="AP13" s="11">
        <v>1030878.26</v>
      </c>
      <c r="AQ13" s="11">
        <v>1879329.01</v>
      </c>
      <c r="AR13" s="11">
        <v>1280995.18</v>
      </c>
      <c r="AS13" s="16">
        <v>1831950.89</v>
      </c>
      <c r="AU13" s="36"/>
      <c r="AV13" s="37"/>
      <c r="AW13" s="36"/>
      <c r="AX13" s="37"/>
      <c r="AY13" s="36"/>
      <c r="AZ13" s="37"/>
      <c r="BA13" s="36"/>
      <c r="BB13" s="37"/>
    </row>
    <row r="14" spans="1:54" ht="15.75" x14ac:dyDescent="0.3">
      <c r="A14" s="4">
        <v>4</v>
      </c>
      <c r="B14" s="5"/>
      <c r="C14" s="5"/>
      <c r="D14" s="5"/>
      <c r="E14" s="5"/>
      <c r="F14" s="5"/>
      <c r="G14" s="5">
        <v>1</v>
      </c>
      <c r="H14" s="271" t="s">
        <v>36</v>
      </c>
      <c r="I14" s="275" t="s">
        <v>34</v>
      </c>
      <c r="J14" s="273">
        <f>J15</f>
        <v>300</v>
      </c>
      <c r="K14" s="274">
        <f>K15</f>
        <v>300</v>
      </c>
      <c r="L14" s="274">
        <f>L15</f>
        <v>300</v>
      </c>
      <c r="M14" s="274">
        <v>378</v>
      </c>
      <c r="N14" s="274">
        <f>+N15</f>
        <v>325</v>
      </c>
      <c r="O14" s="274">
        <f>+O15</f>
        <v>17</v>
      </c>
      <c r="P14" s="274">
        <f t="shared" ref="P14:AA14" si="2">+P15</f>
        <v>0</v>
      </c>
      <c r="Q14" s="274">
        <f t="shared" si="2"/>
        <v>102</v>
      </c>
      <c r="R14" s="274">
        <f t="shared" si="2"/>
        <v>14</v>
      </c>
      <c r="S14" s="274">
        <f t="shared" si="2"/>
        <v>15</v>
      </c>
      <c r="T14" s="274">
        <f t="shared" si="2"/>
        <v>27</v>
      </c>
      <c r="U14" s="274">
        <f t="shared" si="2"/>
        <v>17</v>
      </c>
      <c r="V14" s="274">
        <f t="shared" si="2"/>
        <v>22</v>
      </c>
      <c r="W14" s="274">
        <f t="shared" si="2"/>
        <v>21</v>
      </c>
      <c r="X14" s="274">
        <f t="shared" si="2"/>
        <v>14</v>
      </c>
      <c r="Y14" s="274">
        <f t="shared" si="2"/>
        <v>0</v>
      </c>
      <c r="Z14" s="274">
        <v>76</v>
      </c>
      <c r="AA14" s="274">
        <f t="shared" si="2"/>
        <v>17</v>
      </c>
      <c r="AB14" s="9"/>
      <c r="AC14" s="9"/>
      <c r="AD14" s="9"/>
      <c r="AE14" s="9"/>
      <c r="AF14" s="9"/>
      <c r="AG14" s="16"/>
      <c r="AH14" s="190"/>
      <c r="AI14" s="11"/>
      <c r="AJ14" s="11"/>
      <c r="AK14" s="11"/>
      <c r="AL14" s="11"/>
      <c r="AM14" s="11"/>
      <c r="AN14" s="11" t="s">
        <v>37</v>
      </c>
      <c r="AO14" s="11"/>
      <c r="AP14" s="11"/>
      <c r="AQ14" s="11"/>
      <c r="AR14" s="11"/>
      <c r="AS14" s="16"/>
      <c r="AU14" s="34">
        <f t="shared" ref="AU14:BB14" si="3">+AU15</f>
        <v>300</v>
      </c>
      <c r="AV14" s="35">
        <f t="shared" si="3"/>
        <v>20241530</v>
      </c>
      <c r="AW14" s="34">
        <f t="shared" si="3"/>
        <v>300</v>
      </c>
      <c r="AX14" s="35">
        <f t="shared" si="3"/>
        <v>20241530</v>
      </c>
      <c r="AY14" s="34">
        <f t="shared" si="3"/>
        <v>300</v>
      </c>
      <c r="AZ14" s="35">
        <f t="shared" si="3"/>
        <v>20241530</v>
      </c>
      <c r="BA14" s="34">
        <f t="shared" si="3"/>
        <v>300</v>
      </c>
      <c r="BB14" s="35">
        <f t="shared" si="3"/>
        <v>20241530</v>
      </c>
    </row>
    <row r="15" spans="1:54" x14ac:dyDescent="0.25">
      <c r="A15" s="4"/>
      <c r="B15" s="5"/>
      <c r="C15" s="5"/>
      <c r="D15" s="5"/>
      <c r="E15" s="5"/>
      <c r="F15" s="5"/>
      <c r="G15" s="6">
        <v>2</v>
      </c>
      <c r="H15" s="278" t="s">
        <v>36</v>
      </c>
      <c r="I15" s="279" t="s">
        <v>34</v>
      </c>
      <c r="J15" s="280">
        <v>300</v>
      </c>
      <c r="K15" s="281">
        <v>300</v>
      </c>
      <c r="L15" s="281">
        <v>300</v>
      </c>
      <c r="M15" s="281">
        <v>378</v>
      </c>
      <c r="N15" s="281">
        <f>+SUM(P15:AA15)</f>
        <v>325</v>
      </c>
      <c r="O15" s="274">
        <f>+AA15</f>
        <v>17</v>
      </c>
      <c r="P15" s="281">
        <v>0</v>
      </c>
      <c r="Q15" s="281">
        <v>102</v>
      </c>
      <c r="R15" s="281">
        <v>14</v>
      </c>
      <c r="S15" s="281">
        <v>15</v>
      </c>
      <c r="T15" s="281">
        <v>27</v>
      </c>
      <c r="U15" s="281">
        <v>17</v>
      </c>
      <c r="V15" s="281">
        <v>22</v>
      </c>
      <c r="W15" s="281">
        <v>21</v>
      </c>
      <c r="X15" s="281">
        <v>14</v>
      </c>
      <c r="Y15" s="281">
        <v>0</v>
      </c>
      <c r="Z15" s="281">
        <v>76</v>
      </c>
      <c r="AA15" s="281">
        <v>17</v>
      </c>
      <c r="AB15" s="9"/>
      <c r="AC15" s="9"/>
      <c r="AD15" s="9"/>
      <c r="AE15" s="9"/>
      <c r="AF15" s="9"/>
      <c r="AG15" s="16"/>
      <c r="AH15" s="190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6"/>
      <c r="AU15" s="36">
        <v>300</v>
      </c>
      <c r="AV15" s="9">
        <v>20241530</v>
      </c>
      <c r="AW15" s="36">
        <v>300</v>
      </c>
      <c r="AX15" s="9">
        <v>20241530</v>
      </c>
      <c r="AY15" s="36">
        <v>300</v>
      </c>
      <c r="AZ15" s="9">
        <v>20241530</v>
      </c>
      <c r="BA15" s="36">
        <v>300</v>
      </c>
      <c r="BB15" s="9">
        <v>20241530</v>
      </c>
    </row>
    <row r="16" spans="1:54" x14ac:dyDescent="0.25">
      <c r="A16" s="4"/>
      <c r="B16" s="5"/>
      <c r="C16" s="5"/>
      <c r="D16" s="5"/>
      <c r="E16" s="5">
        <v>3</v>
      </c>
      <c r="F16" s="5">
        <v>0</v>
      </c>
      <c r="G16" s="5"/>
      <c r="H16" s="271" t="s">
        <v>38</v>
      </c>
      <c r="I16" s="279"/>
      <c r="J16" s="280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9">
        <v>26281536</v>
      </c>
      <c r="AC16" s="9">
        <v>12567325</v>
      </c>
      <c r="AD16" s="9">
        <v>12567325</v>
      </c>
      <c r="AE16" s="9">
        <v>6068982</v>
      </c>
      <c r="AF16" s="9">
        <f>4382901.89+AS16</f>
        <v>5931462.2199999997</v>
      </c>
      <c r="AG16" s="16">
        <f>+AS16</f>
        <v>1548560.33</v>
      </c>
      <c r="AH16" s="190">
        <v>0</v>
      </c>
      <c r="AI16" s="11">
        <v>93415.66</v>
      </c>
      <c r="AJ16" s="11">
        <v>502616.85</v>
      </c>
      <c r="AK16" s="11">
        <v>120636.73</v>
      </c>
      <c r="AL16" s="11">
        <v>3483.6</v>
      </c>
      <c r="AM16" s="11">
        <v>33630.410000000003</v>
      </c>
      <c r="AN16" s="11">
        <v>307761.90999999997</v>
      </c>
      <c r="AO16" s="11">
        <v>3411.93</v>
      </c>
      <c r="AP16" s="11">
        <v>325731</v>
      </c>
      <c r="AQ16" s="11">
        <v>310177.07</v>
      </c>
      <c r="AR16" s="11">
        <v>311567.32</v>
      </c>
      <c r="AS16" s="16">
        <v>1548560.33</v>
      </c>
      <c r="AU16" s="36"/>
      <c r="AV16" s="37"/>
      <c r="AW16" s="36"/>
      <c r="AX16" s="37"/>
      <c r="AY16" s="36"/>
      <c r="AZ16" s="37"/>
      <c r="BA16" s="36"/>
      <c r="BB16" s="37"/>
    </row>
    <row r="17" spans="1:54" ht="15.75" x14ac:dyDescent="0.3">
      <c r="A17" s="4">
        <v>4</v>
      </c>
      <c r="B17" s="5"/>
      <c r="C17" s="5"/>
      <c r="D17" s="5"/>
      <c r="E17" s="5"/>
      <c r="F17" s="5"/>
      <c r="G17" s="5">
        <v>1</v>
      </c>
      <c r="H17" s="271" t="s">
        <v>39</v>
      </c>
      <c r="I17" s="275" t="s">
        <v>34</v>
      </c>
      <c r="J17" s="273">
        <f>J18</f>
        <v>24</v>
      </c>
      <c r="K17" s="274">
        <f>K18</f>
        <v>24</v>
      </c>
      <c r="L17" s="274">
        <f>L18</f>
        <v>24</v>
      </c>
      <c r="M17" s="274">
        <f>SUM(M18)</f>
        <v>38</v>
      </c>
      <c r="N17" s="274">
        <f>+N18</f>
        <v>38</v>
      </c>
      <c r="O17" s="274">
        <f>+Z17</f>
        <v>0</v>
      </c>
      <c r="P17" s="274">
        <f t="shared" ref="P17:AA17" si="4">+P18</f>
        <v>0</v>
      </c>
      <c r="Q17" s="274">
        <f t="shared" si="4"/>
        <v>25</v>
      </c>
      <c r="R17" s="274">
        <f t="shared" si="4"/>
        <v>0</v>
      </c>
      <c r="S17" s="274">
        <f t="shared" si="4"/>
        <v>0</v>
      </c>
      <c r="T17" s="274">
        <f t="shared" si="4"/>
        <v>3</v>
      </c>
      <c r="U17" s="274">
        <f t="shared" si="4"/>
        <v>3</v>
      </c>
      <c r="V17" s="274">
        <f t="shared" si="4"/>
        <v>0</v>
      </c>
      <c r="W17" s="274">
        <f t="shared" si="4"/>
        <v>7</v>
      </c>
      <c r="X17" s="274">
        <v>0</v>
      </c>
      <c r="Y17" s="274">
        <f t="shared" si="4"/>
        <v>0</v>
      </c>
      <c r="Z17" s="274">
        <f t="shared" si="4"/>
        <v>0</v>
      </c>
      <c r="AA17" s="274">
        <f t="shared" si="4"/>
        <v>0</v>
      </c>
      <c r="AB17" s="9"/>
      <c r="AC17" s="9"/>
      <c r="AD17" s="9"/>
      <c r="AE17" s="9"/>
      <c r="AF17" s="9"/>
      <c r="AG17" s="16"/>
      <c r="AH17" s="190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6"/>
      <c r="AU17" s="34">
        <f t="shared" ref="AU17:BB17" si="5">+AU18</f>
        <v>24</v>
      </c>
      <c r="AV17" s="35">
        <f t="shared" si="5"/>
        <v>26281536</v>
      </c>
      <c r="AW17" s="34">
        <f t="shared" si="5"/>
        <v>24</v>
      </c>
      <c r="AX17" s="35">
        <f t="shared" si="5"/>
        <v>26281536</v>
      </c>
      <c r="AY17" s="34">
        <f t="shared" si="5"/>
        <v>24</v>
      </c>
      <c r="AZ17" s="35">
        <f t="shared" si="5"/>
        <v>26281536</v>
      </c>
      <c r="BA17" s="34">
        <f t="shared" si="5"/>
        <v>24</v>
      </c>
      <c r="BB17" s="35">
        <f t="shared" si="5"/>
        <v>26281536</v>
      </c>
    </row>
    <row r="18" spans="1:54" x14ac:dyDescent="0.25">
      <c r="A18" s="4"/>
      <c r="B18" s="5"/>
      <c r="C18" s="5"/>
      <c r="D18" s="5"/>
      <c r="E18" s="5"/>
      <c r="F18" s="5"/>
      <c r="G18" s="6">
        <v>2</v>
      </c>
      <c r="H18" s="278" t="s">
        <v>39</v>
      </c>
      <c r="I18" s="279" t="s">
        <v>34</v>
      </c>
      <c r="J18" s="280">
        <v>24</v>
      </c>
      <c r="K18" s="281">
        <v>24</v>
      </c>
      <c r="L18" s="281">
        <v>24</v>
      </c>
      <c r="M18" s="281">
        <v>38</v>
      </c>
      <c r="N18" s="281">
        <f>+SUM(P18:AA18)</f>
        <v>38</v>
      </c>
      <c r="O18" s="274">
        <f>+AA18</f>
        <v>0</v>
      </c>
      <c r="P18" s="281">
        <v>0</v>
      </c>
      <c r="Q18" s="281">
        <v>25</v>
      </c>
      <c r="R18" s="281">
        <v>0</v>
      </c>
      <c r="S18" s="281">
        <v>0</v>
      </c>
      <c r="T18" s="281">
        <v>3</v>
      </c>
      <c r="U18" s="281">
        <v>3</v>
      </c>
      <c r="V18" s="281">
        <v>0</v>
      </c>
      <c r="W18" s="281">
        <v>7</v>
      </c>
      <c r="X18" s="281">
        <v>0</v>
      </c>
      <c r="Y18" s="281">
        <v>0</v>
      </c>
      <c r="Z18" s="281">
        <v>0</v>
      </c>
      <c r="AA18" s="281">
        <v>0</v>
      </c>
      <c r="AB18" s="9"/>
      <c r="AC18" s="9"/>
      <c r="AD18" s="9"/>
      <c r="AE18" s="9"/>
      <c r="AF18" s="9"/>
      <c r="AG18" s="16"/>
      <c r="AH18" s="190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6"/>
      <c r="AU18" s="36">
        <v>24</v>
      </c>
      <c r="AV18" s="9">
        <v>26281536</v>
      </c>
      <c r="AW18" s="36">
        <v>24</v>
      </c>
      <c r="AX18" s="9">
        <v>26281536</v>
      </c>
      <c r="AY18" s="36">
        <v>24</v>
      </c>
      <c r="AZ18" s="9">
        <v>26281536</v>
      </c>
      <c r="BA18" s="36">
        <v>24</v>
      </c>
      <c r="BB18" s="9">
        <v>26281536</v>
      </c>
    </row>
    <row r="19" spans="1:54" x14ac:dyDescent="0.25">
      <c r="A19" s="4"/>
      <c r="B19" s="5">
        <v>99</v>
      </c>
      <c r="C19" s="5"/>
      <c r="D19" s="5"/>
      <c r="E19" s="5"/>
      <c r="F19" s="5"/>
      <c r="G19" s="5"/>
      <c r="H19" s="271" t="s">
        <v>40</v>
      </c>
      <c r="I19" s="279"/>
      <c r="J19" s="280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9"/>
      <c r="AC19" s="9"/>
      <c r="AD19" s="9"/>
      <c r="AE19" s="9"/>
      <c r="AF19" s="9"/>
      <c r="AG19" s="16"/>
      <c r="AH19" s="190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6"/>
      <c r="AU19" s="36"/>
      <c r="AV19" s="37"/>
      <c r="AW19" s="36"/>
      <c r="AX19" s="37"/>
      <c r="AY19" s="36"/>
      <c r="AZ19" s="37"/>
      <c r="BA19" s="36"/>
      <c r="BB19" s="37"/>
    </row>
    <row r="20" spans="1:54" x14ac:dyDescent="0.25">
      <c r="A20" s="4"/>
      <c r="B20" s="5"/>
      <c r="C20" s="5">
        <v>0</v>
      </c>
      <c r="D20" s="5"/>
      <c r="E20" s="5"/>
      <c r="F20" s="5"/>
      <c r="G20" s="5"/>
      <c r="H20" s="271" t="s">
        <v>30</v>
      </c>
      <c r="I20" s="279"/>
      <c r="J20" s="280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9"/>
      <c r="AC20" s="9"/>
      <c r="AD20" s="9"/>
      <c r="AE20" s="9"/>
      <c r="AF20" s="9"/>
      <c r="AG20" s="16"/>
      <c r="AH20" s="190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6"/>
      <c r="AU20" s="36"/>
      <c r="AV20" s="37"/>
      <c r="AW20" s="36"/>
      <c r="AX20" s="37"/>
      <c r="AY20" s="36"/>
      <c r="AZ20" s="37"/>
      <c r="BA20" s="36"/>
      <c r="BB20" s="37"/>
    </row>
    <row r="21" spans="1:54" x14ac:dyDescent="0.25">
      <c r="A21" s="4"/>
      <c r="B21" s="5"/>
      <c r="C21" s="5"/>
      <c r="D21" s="5">
        <v>0</v>
      </c>
      <c r="E21" s="5"/>
      <c r="F21" s="5"/>
      <c r="G21" s="5"/>
      <c r="H21" s="271" t="s">
        <v>31</v>
      </c>
      <c r="I21" s="279"/>
      <c r="J21" s="280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9"/>
      <c r="AC21" s="9"/>
      <c r="AD21" s="9"/>
      <c r="AE21" s="9"/>
      <c r="AF21" s="9"/>
      <c r="AG21" s="16"/>
      <c r="AH21" s="190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6"/>
      <c r="AU21" s="36"/>
      <c r="AV21" s="37"/>
      <c r="AW21" s="36"/>
      <c r="AX21" s="37"/>
      <c r="AY21" s="36"/>
      <c r="AZ21" s="37"/>
      <c r="BA21" s="36"/>
      <c r="BB21" s="37"/>
    </row>
    <row r="22" spans="1:54" x14ac:dyDescent="0.25">
      <c r="A22" s="4"/>
      <c r="B22" s="5"/>
      <c r="C22" s="5"/>
      <c r="D22" s="5"/>
      <c r="E22" s="5">
        <v>1</v>
      </c>
      <c r="F22" s="5">
        <v>0</v>
      </c>
      <c r="G22" s="5"/>
      <c r="H22" s="271" t="s">
        <v>41</v>
      </c>
      <c r="I22" s="279"/>
      <c r="J22" s="280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9">
        <v>49645020</v>
      </c>
      <c r="AC22" s="9">
        <v>5374520</v>
      </c>
      <c r="AD22" s="9">
        <v>5374520</v>
      </c>
      <c r="AE22" s="9">
        <v>5924520</v>
      </c>
      <c r="AF22" s="9">
        <f>SUM(AH22:AS22)</f>
        <v>5924520</v>
      </c>
      <c r="AG22" s="16">
        <f>+AS22</f>
        <v>385384</v>
      </c>
      <c r="AH22" s="190">
        <v>346800</v>
      </c>
      <c r="AI22" s="11">
        <v>1173952</v>
      </c>
      <c r="AJ22" s="11">
        <v>385376</v>
      </c>
      <c r="AK22" s="11">
        <v>385376</v>
      </c>
      <c r="AL22" s="11">
        <v>346800</v>
      </c>
      <c r="AM22" s="11">
        <v>423952</v>
      </c>
      <c r="AN22" s="11">
        <v>385376</v>
      </c>
      <c r="AO22" s="11">
        <v>385376</v>
      </c>
      <c r="AP22" s="11">
        <v>935376</v>
      </c>
      <c r="AQ22" s="11">
        <v>385376</v>
      </c>
      <c r="AR22" s="11">
        <v>385376</v>
      </c>
      <c r="AS22" s="16">
        <v>385384</v>
      </c>
      <c r="AU22" s="36"/>
      <c r="AV22" s="37"/>
      <c r="AW22" s="36"/>
      <c r="AX22" s="37"/>
      <c r="AY22" s="36"/>
      <c r="AZ22" s="37"/>
      <c r="BA22" s="36"/>
      <c r="BB22" s="37"/>
    </row>
    <row r="23" spans="1:54" ht="30" x14ac:dyDescent="0.3">
      <c r="A23" s="4">
        <v>4</v>
      </c>
      <c r="B23" s="5"/>
      <c r="C23" s="5"/>
      <c r="D23" s="5"/>
      <c r="E23" s="5"/>
      <c r="F23" s="5"/>
      <c r="G23" s="5">
        <v>1</v>
      </c>
      <c r="H23" s="271" t="s">
        <v>42</v>
      </c>
      <c r="I23" s="275" t="s">
        <v>43</v>
      </c>
      <c r="J23" s="273">
        <f>J24</f>
        <v>24</v>
      </c>
      <c r="K23" s="274">
        <f>K24</f>
        <v>24</v>
      </c>
      <c r="L23" s="274">
        <f>L24</f>
        <v>13</v>
      </c>
      <c r="M23" s="274">
        <f>+M24</f>
        <v>14</v>
      </c>
      <c r="N23" s="274">
        <f>+N24</f>
        <v>14</v>
      </c>
      <c r="O23" s="274">
        <f>+Z23</f>
        <v>1</v>
      </c>
      <c r="P23" s="274">
        <f>+P24</f>
        <v>0</v>
      </c>
      <c r="Q23" s="274">
        <f t="shared" ref="Q23:AA23" si="6">+Q24</f>
        <v>2</v>
      </c>
      <c r="R23" s="274">
        <f t="shared" si="6"/>
        <v>2</v>
      </c>
      <c r="S23" s="274">
        <f t="shared" si="6"/>
        <v>1</v>
      </c>
      <c r="T23" s="274">
        <f t="shared" si="6"/>
        <v>1</v>
      </c>
      <c r="U23" s="274">
        <f t="shared" si="6"/>
        <v>1</v>
      </c>
      <c r="V23" s="274">
        <v>1</v>
      </c>
      <c r="W23" s="274">
        <f t="shared" si="6"/>
        <v>1</v>
      </c>
      <c r="X23" s="274">
        <f t="shared" si="6"/>
        <v>1</v>
      </c>
      <c r="Y23" s="274">
        <v>2</v>
      </c>
      <c r="Z23" s="274">
        <f t="shared" si="6"/>
        <v>1</v>
      </c>
      <c r="AA23" s="274">
        <f t="shared" si="6"/>
        <v>1</v>
      </c>
      <c r="AB23" s="9"/>
      <c r="AC23" s="9"/>
      <c r="AD23" s="9"/>
      <c r="AE23" s="9"/>
      <c r="AF23" s="9"/>
      <c r="AG23" s="16"/>
      <c r="AH23" s="190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6"/>
      <c r="AU23" s="34">
        <f t="shared" ref="AU23:BB23" si="7">+AU24</f>
        <v>24</v>
      </c>
      <c r="AV23" s="35">
        <f t="shared" si="7"/>
        <v>49645020</v>
      </c>
      <c r="AW23" s="34">
        <f t="shared" si="7"/>
        <v>24</v>
      </c>
      <c r="AX23" s="35">
        <f t="shared" si="7"/>
        <v>49645020</v>
      </c>
      <c r="AY23" s="34">
        <f t="shared" si="7"/>
        <v>24</v>
      </c>
      <c r="AZ23" s="35">
        <f t="shared" si="7"/>
        <v>49645020</v>
      </c>
      <c r="BA23" s="34">
        <f t="shared" si="7"/>
        <v>24</v>
      </c>
      <c r="BB23" s="35">
        <f t="shared" si="7"/>
        <v>49645020</v>
      </c>
    </row>
    <row r="24" spans="1:54" ht="27" x14ac:dyDescent="0.25">
      <c r="A24" s="4"/>
      <c r="B24" s="5"/>
      <c r="C24" s="5"/>
      <c r="D24" s="5"/>
      <c r="E24" s="5"/>
      <c r="F24" s="5"/>
      <c r="G24" s="6">
        <v>2</v>
      </c>
      <c r="H24" s="278" t="s">
        <v>42</v>
      </c>
      <c r="I24" s="279" t="s">
        <v>43</v>
      </c>
      <c r="J24" s="280">
        <v>24</v>
      </c>
      <c r="K24" s="281">
        <v>24</v>
      </c>
      <c r="L24" s="281">
        <v>13</v>
      </c>
      <c r="M24" s="281">
        <v>14</v>
      </c>
      <c r="N24" s="281">
        <f>+SUM(P24:AA24)</f>
        <v>14</v>
      </c>
      <c r="O24" s="274">
        <f>+AA24</f>
        <v>1</v>
      </c>
      <c r="P24" s="281">
        <v>0</v>
      </c>
      <c r="Q24" s="281">
        <v>2</v>
      </c>
      <c r="R24" s="281">
        <v>2</v>
      </c>
      <c r="S24" s="281">
        <v>1</v>
      </c>
      <c r="T24" s="281">
        <v>1</v>
      </c>
      <c r="U24" s="281">
        <v>1</v>
      </c>
      <c r="V24" s="281">
        <v>1</v>
      </c>
      <c r="W24" s="281">
        <v>1</v>
      </c>
      <c r="X24" s="281">
        <v>1</v>
      </c>
      <c r="Y24" s="281">
        <v>2</v>
      </c>
      <c r="Z24" s="281">
        <v>1</v>
      </c>
      <c r="AA24" s="281">
        <v>1</v>
      </c>
      <c r="AB24" s="9"/>
      <c r="AC24" s="9"/>
      <c r="AD24" s="9"/>
      <c r="AE24" s="9"/>
      <c r="AF24" s="9"/>
      <c r="AG24" s="16"/>
      <c r="AH24" s="190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6"/>
      <c r="AU24" s="36">
        <v>24</v>
      </c>
      <c r="AV24" s="9">
        <v>49645020</v>
      </c>
      <c r="AW24" s="36">
        <v>24</v>
      </c>
      <c r="AX24" s="9">
        <v>49645020</v>
      </c>
      <c r="AY24" s="36">
        <v>24</v>
      </c>
      <c r="AZ24" s="9">
        <v>49645020</v>
      </c>
      <c r="BA24" s="36">
        <v>24</v>
      </c>
      <c r="BB24" s="9">
        <v>49645020</v>
      </c>
    </row>
    <row r="25" spans="1:54" ht="30" x14ac:dyDescent="0.25">
      <c r="A25" s="4" t="s">
        <v>269</v>
      </c>
      <c r="B25" s="5" t="s">
        <v>269</v>
      </c>
      <c r="C25" s="5" t="s">
        <v>270</v>
      </c>
      <c r="D25" s="5"/>
      <c r="E25" s="5">
        <v>2</v>
      </c>
      <c r="F25" s="5">
        <v>0</v>
      </c>
      <c r="G25" s="5"/>
      <c r="H25" s="271" t="s">
        <v>44</v>
      </c>
      <c r="I25" s="279"/>
      <c r="J25" s="280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9">
        <v>59083</v>
      </c>
      <c r="AC25" s="9">
        <v>55159</v>
      </c>
      <c r="AD25" s="9">
        <v>55159</v>
      </c>
      <c r="AE25" s="9">
        <v>2559102</v>
      </c>
      <c r="AF25" s="9">
        <f>SUM(AH25:AS25)</f>
        <v>2556194.13</v>
      </c>
      <c r="AG25" s="16">
        <f>+AS25</f>
        <v>250000</v>
      </c>
      <c r="AH25" s="190">
        <v>0</v>
      </c>
      <c r="AI25" s="11">
        <v>0</v>
      </c>
      <c r="AJ25" s="11">
        <v>57786.239999999998</v>
      </c>
      <c r="AK25" s="11">
        <v>-1592.11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2250000</v>
      </c>
      <c r="AS25" s="16">
        <v>250000</v>
      </c>
      <c r="AU25" s="36"/>
      <c r="AV25" s="37"/>
      <c r="AW25" s="36"/>
      <c r="AX25" s="37"/>
      <c r="AY25" s="36"/>
      <c r="AZ25" s="37"/>
      <c r="BA25" s="36"/>
      <c r="BB25" s="37"/>
    </row>
    <row r="26" spans="1:54" ht="30" x14ac:dyDescent="0.3">
      <c r="A26" s="4" t="s">
        <v>269</v>
      </c>
      <c r="B26" s="5" t="s">
        <v>269</v>
      </c>
      <c r="C26" s="5" t="s">
        <v>269</v>
      </c>
      <c r="D26" s="5"/>
      <c r="E26" s="5"/>
      <c r="F26" s="5"/>
      <c r="G26" s="5">
        <v>1</v>
      </c>
      <c r="H26" s="271" t="s">
        <v>45</v>
      </c>
      <c r="I26" s="275" t="s">
        <v>43</v>
      </c>
      <c r="J26" s="273">
        <f>J27</f>
        <v>1</v>
      </c>
      <c r="K26" s="274">
        <f>K27</f>
        <v>1</v>
      </c>
      <c r="L26" s="274">
        <f>L27</f>
        <v>1</v>
      </c>
      <c r="M26" s="274">
        <f>M27</f>
        <v>2</v>
      </c>
      <c r="N26" s="274">
        <f>N27</f>
        <v>2</v>
      </c>
      <c r="O26" s="274">
        <f>+AA26</f>
        <v>0</v>
      </c>
      <c r="P26" s="274">
        <f t="shared" ref="P26:Z26" si="8">P27</f>
        <v>0</v>
      </c>
      <c r="Q26" s="274">
        <f t="shared" si="8"/>
        <v>0</v>
      </c>
      <c r="R26" s="274">
        <f t="shared" si="8"/>
        <v>0</v>
      </c>
      <c r="S26" s="274">
        <f t="shared" si="8"/>
        <v>1</v>
      </c>
      <c r="T26" s="274">
        <f t="shared" si="8"/>
        <v>0</v>
      </c>
      <c r="U26" s="274">
        <f t="shared" si="8"/>
        <v>0</v>
      </c>
      <c r="V26" s="274">
        <f t="shared" si="8"/>
        <v>0</v>
      </c>
      <c r="W26" s="274">
        <f t="shared" si="8"/>
        <v>0</v>
      </c>
      <c r="X26" s="274">
        <f t="shared" si="8"/>
        <v>0</v>
      </c>
      <c r="Y26" s="274">
        <f t="shared" si="8"/>
        <v>0</v>
      </c>
      <c r="Z26" s="274">
        <f t="shared" si="8"/>
        <v>1</v>
      </c>
      <c r="AA26" s="274">
        <v>0</v>
      </c>
      <c r="AB26" s="9"/>
      <c r="AC26" s="9"/>
      <c r="AD26" s="9"/>
      <c r="AE26" s="9"/>
      <c r="AF26" s="9"/>
      <c r="AG26" s="16"/>
      <c r="AH26" s="190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6"/>
      <c r="AU26" s="34">
        <f t="shared" ref="AU26:BB26" si="9">+AU27</f>
        <v>1</v>
      </c>
      <c r="AV26" s="35">
        <f t="shared" si="9"/>
        <v>59083</v>
      </c>
      <c r="AW26" s="34">
        <f t="shared" si="9"/>
        <v>1</v>
      </c>
      <c r="AX26" s="35">
        <f t="shared" si="9"/>
        <v>59083</v>
      </c>
      <c r="AY26" s="34">
        <f t="shared" si="9"/>
        <v>1</v>
      </c>
      <c r="AZ26" s="35">
        <f t="shared" si="9"/>
        <v>59083</v>
      </c>
      <c r="BA26" s="34">
        <f t="shared" si="9"/>
        <v>1</v>
      </c>
      <c r="BB26" s="35">
        <f t="shared" si="9"/>
        <v>59083</v>
      </c>
    </row>
    <row r="27" spans="1:54" ht="27" x14ac:dyDescent="0.25">
      <c r="A27" s="4" t="s">
        <v>269</v>
      </c>
      <c r="B27" s="5" t="s">
        <v>269</v>
      </c>
      <c r="C27" s="5" t="s">
        <v>269</v>
      </c>
      <c r="D27" s="5"/>
      <c r="E27" s="5"/>
      <c r="F27" s="5"/>
      <c r="G27" s="6">
        <v>2</v>
      </c>
      <c r="H27" s="278" t="s">
        <v>45</v>
      </c>
      <c r="I27" s="279" t="s">
        <v>43</v>
      </c>
      <c r="J27" s="280">
        <v>1</v>
      </c>
      <c r="K27" s="281">
        <v>1</v>
      </c>
      <c r="L27" s="281">
        <v>1</v>
      </c>
      <c r="M27" s="281">
        <v>2</v>
      </c>
      <c r="N27" s="281">
        <f>SUM(P27:AA27)</f>
        <v>2</v>
      </c>
      <c r="O27" s="274">
        <f>+AA27</f>
        <v>0</v>
      </c>
      <c r="P27" s="281">
        <v>0</v>
      </c>
      <c r="Q27" s="281">
        <v>0</v>
      </c>
      <c r="R27" s="281">
        <v>0</v>
      </c>
      <c r="S27" s="281">
        <v>1</v>
      </c>
      <c r="T27" s="281">
        <v>0</v>
      </c>
      <c r="U27" s="281">
        <v>0</v>
      </c>
      <c r="V27" s="281">
        <v>0</v>
      </c>
      <c r="W27" s="281">
        <v>0</v>
      </c>
      <c r="X27" s="281">
        <v>0</v>
      </c>
      <c r="Y27" s="281">
        <v>0</v>
      </c>
      <c r="Z27" s="281">
        <v>1</v>
      </c>
      <c r="AA27" s="281">
        <v>0</v>
      </c>
      <c r="AB27" s="9"/>
      <c r="AC27" s="9"/>
      <c r="AD27" s="9"/>
      <c r="AE27" s="9"/>
      <c r="AF27" s="9"/>
      <c r="AG27" s="16"/>
      <c r="AH27" s="190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6"/>
      <c r="AU27" s="36">
        <v>1</v>
      </c>
      <c r="AV27" s="37">
        <v>59083</v>
      </c>
      <c r="AW27" s="36">
        <v>1</v>
      </c>
      <c r="AX27" s="37">
        <v>59083</v>
      </c>
      <c r="AY27" s="36">
        <v>1</v>
      </c>
      <c r="AZ27" s="37">
        <v>59083</v>
      </c>
      <c r="BA27" s="36">
        <v>1</v>
      </c>
      <c r="BB27" s="37">
        <v>59083</v>
      </c>
    </row>
    <row r="28" spans="1:54" ht="30" x14ac:dyDescent="0.25">
      <c r="A28" s="4"/>
      <c r="B28" s="5"/>
      <c r="C28" s="5"/>
      <c r="D28" s="5"/>
      <c r="E28" s="5">
        <v>3</v>
      </c>
      <c r="F28" s="5">
        <v>0</v>
      </c>
      <c r="G28" s="5"/>
      <c r="H28" s="271" t="s">
        <v>46</v>
      </c>
      <c r="I28" s="279"/>
      <c r="J28" s="280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9">
        <v>400000</v>
      </c>
      <c r="AC28" s="9">
        <v>280000</v>
      </c>
      <c r="AD28" s="9">
        <v>280000</v>
      </c>
      <c r="AE28" s="9">
        <v>397000</v>
      </c>
      <c r="AF28" s="9">
        <f>SUM(AH28:AS28)</f>
        <v>385220</v>
      </c>
      <c r="AG28" s="16">
        <f>+AS28</f>
        <v>0</v>
      </c>
      <c r="AH28" s="190">
        <v>0</v>
      </c>
      <c r="AI28" s="11">
        <v>0</v>
      </c>
      <c r="AJ28" s="11">
        <v>385220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6">
        <v>0</v>
      </c>
      <c r="AU28" s="36"/>
      <c r="AV28" s="37"/>
      <c r="AW28" s="36"/>
      <c r="AX28" s="37"/>
      <c r="AY28" s="36"/>
      <c r="AZ28" s="37"/>
      <c r="BA28" s="36"/>
      <c r="BB28" s="37"/>
    </row>
    <row r="29" spans="1:54" ht="30" x14ac:dyDescent="0.3">
      <c r="A29" s="4">
        <v>4</v>
      </c>
      <c r="B29" s="5"/>
      <c r="C29" s="5"/>
      <c r="D29" s="5"/>
      <c r="E29" s="5"/>
      <c r="F29" s="5"/>
      <c r="G29" s="5">
        <v>1</v>
      </c>
      <c r="H29" s="271" t="s">
        <v>47</v>
      </c>
      <c r="I29" s="275" t="s">
        <v>43</v>
      </c>
      <c r="J29" s="273">
        <f>J30</f>
        <v>1</v>
      </c>
      <c r="K29" s="274">
        <f>K30</f>
        <v>1</v>
      </c>
      <c r="L29" s="274">
        <f>L30</f>
        <v>1</v>
      </c>
      <c r="M29" s="274">
        <f>M30</f>
        <v>1</v>
      </c>
      <c r="N29" s="274">
        <f>+N30</f>
        <v>1</v>
      </c>
      <c r="O29" s="274">
        <f>+Z29</f>
        <v>0</v>
      </c>
      <c r="P29" s="274">
        <f t="shared" ref="P29:AA29" si="10">+P30</f>
        <v>0</v>
      </c>
      <c r="Q29" s="274">
        <f t="shared" si="10"/>
        <v>0</v>
      </c>
      <c r="R29" s="274">
        <f t="shared" si="10"/>
        <v>0</v>
      </c>
      <c r="S29" s="274">
        <f t="shared" si="10"/>
        <v>1</v>
      </c>
      <c r="T29" s="274">
        <f t="shared" si="10"/>
        <v>0</v>
      </c>
      <c r="U29" s="274">
        <f t="shared" si="10"/>
        <v>0</v>
      </c>
      <c r="V29" s="274">
        <f t="shared" si="10"/>
        <v>0</v>
      </c>
      <c r="W29" s="274">
        <f t="shared" si="10"/>
        <v>0</v>
      </c>
      <c r="X29" s="274">
        <f t="shared" si="10"/>
        <v>0</v>
      </c>
      <c r="Y29" s="274">
        <f t="shared" si="10"/>
        <v>0</v>
      </c>
      <c r="Z29" s="274">
        <f t="shared" si="10"/>
        <v>0</v>
      </c>
      <c r="AA29" s="274">
        <f t="shared" si="10"/>
        <v>0</v>
      </c>
      <c r="AB29" s="9"/>
      <c r="AC29" s="9"/>
      <c r="AD29" s="9"/>
      <c r="AE29" s="9"/>
      <c r="AF29" s="9"/>
      <c r="AG29" s="10"/>
      <c r="AH29" s="190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6"/>
      <c r="AU29" s="34">
        <f t="shared" ref="AU29:BB29" si="11">+AU30</f>
        <v>1</v>
      </c>
      <c r="AV29" s="35">
        <f t="shared" si="11"/>
        <v>400000</v>
      </c>
      <c r="AW29" s="34">
        <f t="shared" si="11"/>
        <v>1</v>
      </c>
      <c r="AX29" s="35">
        <f t="shared" si="11"/>
        <v>400000</v>
      </c>
      <c r="AY29" s="34">
        <f t="shared" si="11"/>
        <v>1</v>
      </c>
      <c r="AZ29" s="35">
        <f t="shared" si="11"/>
        <v>400000</v>
      </c>
      <c r="BA29" s="34">
        <f t="shared" si="11"/>
        <v>1</v>
      </c>
      <c r="BB29" s="35">
        <f t="shared" si="11"/>
        <v>400000</v>
      </c>
    </row>
    <row r="30" spans="1:54" ht="27.75" thickBot="1" x14ac:dyDescent="0.3">
      <c r="A30" s="282"/>
      <c r="B30" s="283"/>
      <c r="C30" s="283"/>
      <c r="D30" s="283"/>
      <c r="E30" s="283"/>
      <c r="F30" s="283"/>
      <c r="G30" s="284">
        <v>2</v>
      </c>
      <c r="H30" s="285" t="s">
        <v>48</v>
      </c>
      <c r="I30" s="286" t="s">
        <v>43</v>
      </c>
      <c r="J30" s="287">
        <v>1</v>
      </c>
      <c r="K30" s="288">
        <v>1</v>
      </c>
      <c r="L30" s="288">
        <v>1</v>
      </c>
      <c r="M30" s="288">
        <v>1</v>
      </c>
      <c r="N30" s="288">
        <f>+SUM(P30:AA30)</f>
        <v>1</v>
      </c>
      <c r="O30" s="308">
        <f>+AA30</f>
        <v>0</v>
      </c>
      <c r="P30" s="288">
        <v>0</v>
      </c>
      <c r="Q30" s="288">
        <v>0</v>
      </c>
      <c r="R30" s="288">
        <v>0</v>
      </c>
      <c r="S30" s="288">
        <v>1</v>
      </c>
      <c r="T30" s="288">
        <v>0</v>
      </c>
      <c r="U30" s="288">
        <v>0</v>
      </c>
      <c r="V30" s="288">
        <v>0</v>
      </c>
      <c r="W30" s="288">
        <v>0</v>
      </c>
      <c r="X30" s="288">
        <v>0</v>
      </c>
      <c r="Y30" s="288">
        <v>0</v>
      </c>
      <c r="Z30" s="288">
        <v>0</v>
      </c>
      <c r="AA30" s="288">
        <v>0</v>
      </c>
      <c r="AB30" s="13"/>
      <c r="AC30" s="13"/>
      <c r="AD30" s="13"/>
      <c r="AE30" s="13"/>
      <c r="AF30" s="13"/>
      <c r="AG30" s="14"/>
      <c r="AH30" s="191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7"/>
      <c r="AU30" s="36">
        <v>1</v>
      </c>
      <c r="AV30" s="37">
        <v>400000</v>
      </c>
      <c r="AW30" s="36">
        <v>1</v>
      </c>
      <c r="AX30" s="37">
        <v>400000</v>
      </c>
      <c r="AY30" s="36">
        <v>1</v>
      </c>
      <c r="AZ30" s="37">
        <v>400000</v>
      </c>
      <c r="BA30" s="36">
        <v>1</v>
      </c>
      <c r="BB30" s="37">
        <v>400000</v>
      </c>
    </row>
    <row r="32" spans="1:54" ht="60" x14ac:dyDescent="0.25">
      <c r="H32" s="33" t="s">
        <v>56</v>
      </c>
      <c r="L32" s="192"/>
      <c r="M32" s="192"/>
      <c r="N32" s="19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AD32" s="192"/>
      <c r="AE32" s="192"/>
      <c r="AF32" s="192"/>
    </row>
    <row r="33" spans="11:32" x14ac:dyDescent="0.25">
      <c r="K33" t="s">
        <v>214</v>
      </c>
      <c r="AF33" s="192"/>
    </row>
    <row r="34" spans="11:32" x14ac:dyDescent="0.25">
      <c r="K34" t="s">
        <v>215</v>
      </c>
      <c r="AF34" s="192"/>
    </row>
  </sheetData>
  <mergeCells count="7">
    <mergeCell ref="BA5:BB5"/>
    <mergeCell ref="A5:I5"/>
    <mergeCell ref="J5:O5"/>
    <mergeCell ref="AB5:AG5"/>
    <mergeCell ref="AU5:AV5"/>
    <mergeCell ref="AW5:AX5"/>
    <mergeCell ref="AY5:AZ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B35"/>
  <sheetViews>
    <sheetView zoomScale="85" zoomScaleNormal="85" workbookViewId="0">
      <pane xSplit="14" ySplit="6" topLeftCell="AA28" activePane="bottomRight" state="frozen"/>
      <selection pane="topRight" activeCell="O1" sqref="O1"/>
      <selection pane="bottomLeft" activeCell="A7" sqref="A7"/>
      <selection pane="bottomRight" activeCell="AR1" activeCellId="1" sqref="AA1:AA1048576 AR1:AS1048576"/>
    </sheetView>
  </sheetViews>
  <sheetFormatPr baseColWidth="10" defaultRowHeight="15" x14ac:dyDescent="0.25"/>
  <cols>
    <col min="1" max="7" width="3.7109375" customWidth="1"/>
    <col min="8" max="8" width="43.8554687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5" width="13.7109375" hidden="1" customWidth="1"/>
    <col min="26" max="26" width="13.7109375" customWidth="1"/>
    <col min="27" max="29" width="13.7109375" hidden="1" customWidth="1"/>
    <col min="30" max="30" width="14" bestFit="1" customWidth="1"/>
    <col min="31" max="31" width="15.5703125" bestFit="1" customWidth="1"/>
    <col min="32" max="32" width="14" bestFit="1" customWidth="1"/>
    <col min="33" max="33" width="15.85546875" customWidth="1"/>
    <col min="34" max="41" width="13.7109375" hidden="1" customWidth="1"/>
    <col min="42" max="42" width="14.28515625" hidden="1" customWidth="1"/>
    <col min="43" max="45" width="13.7109375" hidden="1" customWidth="1"/>
    <col min="47" max="47" width="10.7109375" customWidth="1"/>
    <col min="48" max="48" width="16.7109375" customWidth="1"/>
    <col min="49" max="49" width="10.7109375" customWidth="1"/>
    <col min="50" max="50" width="16.7109375" customWidth="1"/>
    <col min="51" max="51" width="10.7109375" customWidth="1"/>
    <col min="52" max="52" width="16.7109375" customWidth="1"/>
    <col min="53" max="53" width="10.7109375" customWidth="1"/>
    <col min="54" max="54" width="16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">
        <v>351</v>
      </c>
    </row>
    <row r="4" spans="1:54" ht="15" customHeight="1" thickBot="1" x14ac:dyDescent="0.3"/>
    <row r="5" spans="1:54" s="51" customFormat="1" ht="15" customHeight="1" x14ac:dyDescent="0.2">
      <c r="A5" s="327" t="s">
        <v>57</v>
      </c>
      <c r="B5" s="328"/>
      <c r="C5" s="328"/>
      <c r="D5" s="328"/>
      <c r="E5" s="328"/>
      <c r="F5" s="328"/>
      <c r="G5" s="328"/>
      <c r="H5" s="328"/>
      <c r="I5" s="328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29" t="s">
        <v>2</v>
      </c>
      <c r="AC5" s="329"/>
      <c r="AD5" s="329"/>
      <c r="AE5" s="329"/>
      <c r="AF5" s="329"/>
      <c r="AG5" s="32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U5" s="326" t="s">
        <v>51</v>
      </c>
      <c r="AV5" s="326"/>
      <c r="AW5" s="326" t="s">
        <v>52</v>
      </c>
      <c r="AX5" s="326"/>
      <c r="AY5" s="326" t="s">
        <v>53</v>
      </c>
      <c r="AZ5" s="326"/>
      <c r="BA5" s="326" t="s">
        <v>55</v>
      </c>
      <c r="BB5" s="326"/>
    </row>
    <row r="6" spans="1:54" s="7" customFormat="1" ht="36" x14ac:dyDescent="0.2">
      <c r="A6" s="238" t="s">
        <v>3</v>
      </c>
      <c r="B6" s="229" t="s">
        <v>4</v>
      </c>
      <c r="C6" s="229" t="s">
        <v>5</v>
      </c>
      <c r="D6" s="229" t="s">
        <v>6</v>
      </c>
      <c r="E6" s="229" t="s">
        <v>7</v>
      </c>
      <c r="F6" s="229" t="s">
        <v>8</v>
      </c>
      <c r="G6" s="229" t="s">
        <v>9</v>
      </c>
      <c r="H6" s="230" t="s">
        <v>10</v>
      </c>
      <c r="I6" s="231" t="s">
        <v>11</v>
      </c>
      <c r="J6" s="232" t="s">
        <v>12</v>
      </c>
      <c r="K6" s="232" t="s">
        <v>65</v>
      </c>
      <c r="L6" s="232" t="s">
        <v>13</v>
      </c>
      <c r="M6" s="232" t="s">
        <v>14</v>
      </c>
      <c r="N6" s="233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3" t="s">
        <v>22</v>
      </c>
      <c r="V6" s="233" t="s">
        <v>23</v>
      </c>
      <c r="W6" s="233" t="s">
        <v>24</v>
      </c>
      <c r="X6" s="233" t="s">
        <v>25</v>
      </c>
      <c r="Y6" s="233" t="s">
        <v>26</v>
      </c>
      <c r="Z6" s="233" t="s">
        <v>27</v>
      </c>
      <c r="AA6" s="233" t="s">
        <v>28</v>
      </c>
      <c r="AB6" s="232" t="s">
        <v>12</v>
      </c>
      <c r="AC6" s="232" t="s">
        <v>66</v>
      </c>
      <c r="AD6" s="232" t="s">
        <v>13</v>
      </c>
      <c r="AE6" s="232" t="s">
        <v>14</v>
      </c>
      <c r="AF6" s="233" t="s">
        <v>15</v>
      </c>
      <c r="AG6" s="233" t="s">
        <v>16</v>
      </c>
      <c r="AH6" s="233" t="s">
        <v>17</v>
      </c>
      <c r="AI6" s="233" t="s">
        <v>18</v>
      </c>
      <c r="AJ6" s="233" t="s">
        <v>19</v>
      </c>
      <c r="AK6" s="233" t="s">
        <v>20</v>
      </c>
      <c r="AL6" s="233" t="s">
        <v>21</v>
      </c>
      <c r="AM6" s="233" t="s">
        <v>22</v>
      </c>
      <c r="AN6" s="233" t="s">
        <v>23</v>
      </c>
      <c r="AO6" s="233" t="s">
        <v>24</v>
      </c>
      <c r="AP6" s="233" t="s">
        <v>25</v>
      </c>
      <c r="AQ6" s="233" t="s">
        <v>26</v>
      </c>
      <c r="AR6" s="233" t="s">
        <v>27</v>
      </c>
      <c r="AS6" s="239" t="s">
        <v>28</v>
      </c>
      <c r="AU6" s="68" t="s">
        <v>54</v>
      </c>
      <c r="AV6" s="68" t="s">
        <v>2</v>
      </c>
      <c r="AW6" s="68" t="s">
        <v>54</v>
      </c>
      <c r="AX6" s="68" t="s">
        <v>2</v>
      </c>
      <c r="AY6" s="68" t="s">
        <v>54</v>
      </c>
      <c r="AZ6" s="68" t="s">
        <v>2</v>
      </c>
      <c r="BA6" s="68" t="s">
        <v>54</v>
      </c>
      <c r="BB6" s="68" t="s">
        <v>2</v>
      </c>
    </row>
    <row r="7" spans="1:54" s="51" customFormat="1" ht="30" x14ac:dyDescent="0.2">
      <c r="A7" s="4"/>
      <c r="B7" s="5">
        <v>11</v>
      </c>
      <c r="C7" s="5"/>
      <c r="D7" s="5"/>
      <c r="E7" s="5"/>
      <c r="F7" s="5"/>
      <c r="G7" s="5"/>
      <c r="H7" s="53" t="s">
        <v>58</v>
      </c>
      <c r="I7" s="23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64"/>
      <c r="AU7" s="69"/>
      <c r="AV7" s="70"/>
      <c r="AW7" s="34"/>
      <c r="AX7" s="34"/>
      <c r="AY7" s="34"/>
      <c r="AZ7" s="34"/>
      <c r="BA7" s="34"/>
      <c r="BB7" s="34"/>
    </row>
    <row r="8" spans="1:54" s="51" customFormat="1" x14ac:dyDescent="0.2">
      <c r="A8" s="4"/>
      <c r="B8" s="5"/>
      <c r="C8" s="5">
        <v>0</v>
      </c>
      <c r="D8" s="5"/>
      <c r="E8" s="5"/>
      <c r="F8" s="5"/>
      <c r="G8" s="5"/>
      <c r="H8" s="53" t="s">
        <v>30</v>
      </c>
      <c r="I8" s="23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64"/>
      <c r="AU8" s="69"/>
      <c r="AV8" s="70"/>
      <c r="AW8" s="34"/>
      <c r="AX8" s="34"/>
      <c r="AY8" s="34"/>
      <c r="AZ8" s="34"/>
      <c r="BA8" s="34"/>
      <c r="BB8" s="34"/>
    </row>
    <row r="9" spans="1:54" s="51" customFormat="1" x14ac:dyDescent="0.2">
      <c r="A9" s="4"/>
      <c r="B9" s="5"/>
      <c r="C9" s="5"/>
      <c r="D9" s="5">
        <v>0</v>
      </c>
      <c r="E9" s="5"/>
      <c r="F9" s="5"/>
      <c r="G9" s="5"/>
      <c r="H9" s="53" t="s">
        <v>31</v>
      </c>
      <c r="I9" s="23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8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64"/>
      <c r="AU9" s="69"/>
      <c r="AV9" s="70"/>
      <c r="AW9" s="34"/>
      <c r="AX9" s="34"/>
      <c r="AY9" s="34"/>
      <c r="AZ9" s="34"/>
      <c r="BA9" s="34"/>
      <c r="BB9" s="34"/>
    </row>
    <row r="10" spans="1:54" s="51" customFormat="1" x14ac:dyDescent="0.2">
      <c r="A10" s="4"/>
      <c r="B10" s="5"/>
      <c r="C10" s="5"/>
      <c r="D10" s="5"/>
      <c r="E10" s="5">
        <v>1</v>
      </c>
      <c r="F10" s="5">
        <v>0</v>
      </c>
      <c r="G10" s="5"/>
      <c r="H10" s="53" t="s">
        <v>59</v>
      </c>
      <c r="I10" s="23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8"/>
      <c r="AC10" s="58"/>
      <c r="AD10" s="58"/>
      <c r="AE10" s="58"/>
      <c r="AF10" s="58"/>
      <c r="AG10" s="58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64"/>
      <c r="AU10" s="69"/>
      <c r="AV10" s="70"/>
      <c r="AW10" s="34"/>
      <c r="AX10" s="34"/>
      <c r="AY10" s="34"/>
      <c r="AZ10" s="34"/>
      <c r="BA10" s="34"/>
      <c r="BB10" s="34"/>
    </row>
    <row r="11" spans="1:54" s="51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4" t="s">
        <v>60</v>
      </c>
      <c r="I11" s="244" t="s">
        <v>34</v>
      </c>
      <c r="J11" s="58">
        <f t="shared" ref="J11:P11" si="0">J12</f>
        <v>471</v>
      </c>
      <c r="K11" s="58">
        <f>K12</f>
        <v>471</v>
      </c>
      <c r="L11" s="58">
        <f t="shared" si="0"/>
        <v>471</v>
      </c>
      <c r="M11" s="58">
        <f>M12</f>
        <v>568</v>
      </c>
      <c r="N11" s="58">
        <f>N12</f>
        <v>413</v>
      </c>
      <c r="O11" s="58">
        <f>+AA11</f>
        <v>59</v>
      </c>
      <c r="P11" s="57">
        <f t="shared" si="0"/>
        <v>0</v>
      </c>
      <c r="Q11" s="57">
        <f>Q12</f>
        <v>0</v>
      </c>
      <c r="R11" s="57">
        <f t="shared" ref="R11:AA11" si="1">R12</f>
        <v>0</v>
      </c>
      <c r="S11" s="57">
        <f t="shared" si="1"/>
        <v>0</v>
      </c>
      <c r="T11" s="57">
        <f t="shared" si="1"/>
        <v>59</v>
      </c>
      <c r="U11" s="57">
        <f>U12</f>
        <v>59</v>
      </c>
      <c r="V11" s="57">
        <f t="shared" si="1"/>
        <v>59</v>
      </c>
      <c r="W11" s="57">
        <f t="shared" si="1"/>
        <v>59</v>
      </c>
      <c r="X11" s="57">
        <f t="shared" si="1"/>
        <v>59</v>
      </c>
      <c r="Y11" s="57">
        <v>59</v>
      </c>
      <c r="Z11" s="57">
        <f t="shared" si="1"/>
        <v>0</v>
      </c>
      <c r="AA11" s="57">
        <f t="shared" si="1"/>
        <v>59</v>
      </c>
      <c r="AB11" s="58">
        <v>305773291.52333301</v>
      </c>
      <c r="AC11" s="58">
        <v>85426696</v>
      </c>
      <c r="AD11" s="58">
        <v>85426696</v>
      </c>
      <c r="AE11" s="58">
        <v>91338098</v>
      </c>
      <c r="AF11" s="58">
        <f>50203623.89+AR11+AS11</f>
        <v>72871148.939999998</v>
      </c>
      <c r="AG11" s="58">
        <f>+AS11</f>
        <v>14743571.23</v>
      </c>
      <c r="AH11" s="289">
        <v>3526692.01</v>
      </c>
      <c r="AI11" s="289">
        <v>4233576.7699999996</v>
      </c>
      <c r="AJ11" s="289">
        <v>7082649.4400000004</v>
      </c>
      <c r="AK11" s="289">
        <v>4220608.1500000004</v>
      </c>
      <c r="AL11" s="289">
        <v>4773100.4400000004</v>
      </c>
      <c r="AM11" s="289">
        <v>1569322.91</v>
      </c>
      <c r="AN11" s="289">
        <v>7947642.54</v>
      </c>
      <c r="AO11" s="57">
        <v>1367120.28</v>
      </c>
      <c r="AP11" s="57">
        <v>4622413.4000000004</v>
      </c>
      <c r="AQ11" s="57">
        <v>3475052.94</v>
      </c>
      <c r="AR11" s="56">
        <v>7923953.8200000003</v>
      </c>
      <c r="AS11" s="64">
        <v>14743571.23</v>
      </c>
      <c r="AU11" s="71">
        <f>+AU12</f>
        <v>471</v>
      </c>
      <c r="AV11" s="72">
        <f>+AV12</f>
        <v>107079133</v>
      </c>
      <c r="AW11" s="71">
        <f t="shared" ref="AW11:BB11" si="2">+AW12</f>
        <v>471</v>
      </c>
      <c r="AX11" s="72">
        <f t="shared" si="2"/>
        <v>107079133</v>
      </c>
      <c r="AY11" s="71">
        <f t="shared" si="2"/>
        <v>471</v>
      </c>
      <c r="AZ11" s="72">
        <f t="shared" si="2"/>
        <v>107079133</v>
      </c>
      <c r="BA11" s="71">
        <f t="shared" si="2"/>
        <v>471</v>
      </c>
      <c r="BB11" s="72">
        <f t="shared" si="2"/>
        <v>107079133</v>
      </c>
    </row>
    <row r="12" spans="1:54" s="51" customFormat="1" x14ac:dyDescent="0.2">
      <c r="A12" s="4"/>
      <c r="B12" s="5"/>
      <c r="C12" s="5"/>
      <c r="D12" s="5"/>
      <c r="E12" s="6"/>
      <c r="F12" s="6"/>
      <c r="G12" s="6">
        <v>9</v>
      </c>
      <c r="H12" s="55" t="s">
        <v>60</v>
      </c>
      <c r="I12" s="245" t="s">
        <v>34</v>
      </c>
      <c r="J12" s="57">
        <v>471</v>
      </c>
      <c r="K12" s="57">
        <v>471</v>
      </c>
      <c r="L12" s="57">
        <v>471</v>
      </c>
      <c r="M12" s="57">
        <v>568</v>
      </c>
      <c r="N12" s="57">
        <f>SUM(P12:AA12)</f>
        <v>413</v>
      </c>
      <c r="O12" s="58">
        <f>+AA12</f>
        <v>59</v>
      </c>
      <c r="P12" s="57">
        <v>0</v>
      </c>
      <c r="Q12" s="57">
        <v>0</v>
      </c>
      <c r="R12" s="57">
        <v>0</v>
      </c>
      <c r="S12" s="57">
        <v>0</v>
      </c>
      <c r="T12" s="57">
        <v>59</v>
      </c>
      <c r="U12" s="57">
        <v>59</v>
      </c>
      <c r="V12" s="57">
        <v>59</v>
      </c>
      <c r="W12" s="57">
        <v>59</v>
      </c>
      <c r="X12" s="57">
        <v>59</v>
      </c>
      <c r="Y12" s="57">
        <v>59</v>
      </c>
      <c r="Z12" s="57">
        <v>0</v>
      </c>
      <c r="AA12" s="57">
        <v>59</v>
      </c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64"/>
      <c r="AU12" s="73">
        <v>471</v>
      </c>
      <c r="AV12" s="74">
        <v>107079133</v>
      </c>
      <c r="AW12" s="73">
        <v>471</v>
      </c>
      <c r="AX12" s="74">
        <v>107079133</v>
      </c>
      <c r="AY12" s="73">
        <v>471</v>
      </c>
      <c r="AZ12" s="74">
        <v>107079133</v>
      </c>
      <c r="BA12" s="73">
        <v>471</v>
      </c>
      <c r="BB12" s="74">
        <v>107079133</v>
      </c>
    </row>
    <row r="13" spans="1:54" s="51" customFormat="1" x14ac:dyDescent="0.2">
      <c r="A13" s="4"/>
      <c r="B13" s="5"/>
      <c r="C13" s="5"/>
      <c r="D13" s="5"/>
      <c r="E13" s="5">
        <v>2</v>
      </c>
      <c r="F13" s="5">
        <v>0</v>
      </c>
      <c r="G13" s="5"/>
      <c r="H13" s="54" t="s">
        <v>61</v>
      </c>
      <c r="I13" s="244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64"/>
      <c r="AU13" s="71"/>
      <c r="AV13" s="72"/>
      <c r="AW13" s="71"/>
      <c r="AX13" s="72"/>
      <c r="AY13" s="71"/>
      <c r="AZ13" s="72"/>
      <c r="BA13" s="71"/>
      <c r="BB13" s="72"/>
    </row>
    <row r="14" spans="1:54" s="51" customFormat="1" x14ac:dyDescent="0.25">
      <c r="A14" s="4">
        <v>4</v>
      </c>
      <c r="B14" s="5"/>
      <c r="C14" s="5"/>
      <c r="D14" s="5"/>
      <c r="E14" s="6"/>
      <c r="F14" s="6"/>
      <c r="G14" s="5">
        <v>1</v>
      </c>
      <c r="H14" s="54" t="s">
        <v>62</v>
      </c>
      <c r="I14" s="244" t="s">
        <v>63</v>
      </c>
      <c r="J14" s="58">
        <f>J15</f>
        <v>1906</v>
      </c>
      <c r="K14" s="58">
        <f>K15</f>
        <v>2391</v>
      </c>
      <c r="L14" s="58">
        <f>L15</f>
        <v>2357</v>
      </c>
      <c r="M14" s="58">
        <v>2412</v>
      </c>
      <c r="N14" s="58">
        <f>N15</f>
        <v>1698</v>
      </c>
      <c r="O14" s="58">
        <f>+AA14</f>
        <v>32</v>
      </c>
      <c r="P14" s="57">
        <f>P15</f>
        <v>0</v>
      </c>
      <c r="Q14" s="57">
        <f>Q15</f>
        <v>201</v>
      </c>
      <c r="R14" s="57">
        <f t="shared" ref="R14:AA14" si="3">R15</f>
        <v>210</v>
      </c>
      <c r="S14" s="57">
        <f t="shared" si="3"/>
        <v>185</v>
      </c>
      <c r="T14" s="57">
        <f t="shared" si="3"/>
        <v>201</v>
      </c>
      <c r="U14" s="57">
        <f t="shared" si="3"/>
        <v>166</v>
      </c>
      <c r="V14" s="57">
        <f t="shared" si="3"/>
        <v>194</v>
      </c>
      <c r="W14" s="57">
        <f t="shared" si="3"/>
        <v>174</v>
      </c>
      <c r="X14" s="57">
        <f t="shared" si="3"/>
        <v>133</v>
      </c>
      <c r="Y14" s="57">
        <v>110</v>
      </c>
      <c r="Z14" s="57">
        <f t="shared" si="3"/>
        <v>92</v>
      </c>
      <c r="AA14" s="57">
        <f t="shared" si="3"/>
        <v>32</v>
      </c>
      <c r="AB14" s="58">
        <v>214504255.62</v>
      </c>
      <c r="AC14" s="58">
        <v>140723304</v>
      </c>
      <c r="AD14" s="58">
        <v>140723304</v>
      </c>
      <c r="AE14" s="58">
        <v>309260686</v>
      </c>
      <c r="AF14" s="58">
        <f>164273018.59+AR14+AS14</f>
        <v>296294379.11000001</v>
      </c>
      <c r="AG14" s="58">
        <f>+AS14</f>
        <v>114409818.53</v>
      </c>
      <c r="AH14" s="289">
        <v>8770665.75</v>
      </c>
      <c r="AI14" s="289">
        <v>9409885.8100000005</v>
      </c>
      <c r="AJ14" s="289">
        <v>11543122.52</v>
      </c>
      <c r="AK14" s="289">
        <v>9471729.6099999994</v>
      </c>
      <c r="AL14" s="289">
        <v>1402892.66</v>
      </c>
      <c r="AM14" s="289">
        <v>1402892.66</v>
      </c>
      <c r="AN14" s="289">
        <v>10486922.27</v>
      </c>
      <c r="AO14" s="57">
        <v>450652.42</v>
      </c>
      <c r="AP14" s="57">
        <v>69028853.319999993</v>
      </c>
      <c r="AQ14" s="200">
        <v>11455246.130000001</v>
      </c>
      <c r="AR14" s="57">
        <v>17611541.989999998</v>
      </c>
      <c r="AS14" s="64">
        <v>114409818.53</v>
      </c>
      <c r="AU14" s="71">
        <f>+AU15</f>
        <v>1906</v>
      </c>
      <c r="AV14" s="72">
        <f>+AV15</f>
        <v>214504255.62</v>
      </c>
      <c r="AW14" s="71">
        <f t="shared" ref="AW14:BB14" si="4">+AW15</f>
        <v>1906</v>
      </c>
      <c r="AX14" s="72">
        <f t="shared" si="4"/>
        <v>214504255.62</v>
      </c>
      <c r="AY14" s="71">
        <f t="shared" si="4"/>
        <v>1906</v>
      </c>
      <c r="AZ14" s="72">
        <f t="shared" si="4"/>
        <v>214504255.62</v>
      </c>
      <c r="BA14" s="71">
        <f t="shared" si="4"/>
        <v>1906</v>
      </c>
      <c r="BB14" s="72">
        <f t="shared" si="4"/>
        <v>214504255.62</v>
      </c>
    </row>
    <row r="15" spans="1:54" s="51" customFormat="1" x14ac:dyDescent="0.25">
      <c r="A15" s="4"/>
      <c r="B15" s="6"/>
      <c r="C15" s="6"/>
      <c r="D15" s="6"/>
      <c r="E15" s="6"/>
      <c r="F15" s="6"/>
      <c r="G15" s="6">
        <v>5</v>
      </c>
      <c r="H15" s="110" t="s">
        <v>62</v>
      </c>
      <c r="I15" s="6" t="s">
        <v>63</v>
      </c>
      <c r="J15" s="57">
        <v>1906</v>
      </c>
      <c r="K15" s="57">
        <v>2391</v>
      </c>
      <c r="L15" s="57">
        <v>2357</v>
      </c>
      <c r="M15" s="57">
        <v>2412</v>
      </c>
      <c r="N15" s="57">
        <f>+SUM(P15:AA15)</f>
        <v>1698</v>
      </c>
      <c r="O15" s="58">
        <f>+AA15</f>
        <v>32</v>
      </c>
      <c r="P15" s="57">
        <v>0</v>
      </c>
      <c r="Q15" s="57">
        <v>201</v>
      </c>
      <c r="R15" s="57">
        <v>210</v>
      </c>
      <c r="S15" s="57">
        <v>185</v>
      </c>
      <c r="T15" s="57">
        <v>201</v>
      </c>
      <c r="U15" s="57">
        <v>166</v>
      </c>
      <c r="V15" s="57">
        <v>194</v>
      </c>
      <c r="W15" s="57">
        <v>174</v>
      </c>
      <c r="X15" s="57">
        <v>133</v>
      </c>
      <c r="Y15" s="57">
        <v>110</v>
      </c>
      <c r="Z15" s="57">
        <v>92</v>
      </c>
      <c r="AA15" s="57">
        <v>32</v>
      </c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64"/>
      <c r="AU15" s="75">
        <v>1906</v>
      </c>
      <c r="AV15" s="76">
        <v>214504255.62</v>
      </c>
      <c r="AW15" s="75">
        <v>1906</v>
      </c>
      <c r="AX15" s="76">
        <v>214504255.62</v>
      </c>
      <c r="AY15" s="75">
        <v>1906</v>
      </c>
      <c r="AZ15" s="76">
        <v>214504255.62</v>
      </c>
      <c r="BA15" s="75">
        <v>1906</v>
      </c>
      <c r="BB15" s="76">
        <v>214504255.62</v>
      </c>
    </row>
    <row r="16" spans="1:54" s="51" customFormat="1" ht="45" x14ac:dyDescent="0.25">
      <c r="A16" s="4"/>
      <c r="B16" s="6"/>
      <c r="C16" s="5">
        <v>3</v>
      </c>
      <c r="D16" s="6"/>
      <c r="E16" s="6"/>
      <c r="F16" s="6"/>
      <c r="G16" s="6"/>
      <c r="H16" s="53" t="s">
        <v>235</v>
      </c>
      <c r="I16" s="6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64"/>
      <c r="AU16" s="75"/>
      <c r="AV16" s="76"/>
      <c r="AW16" s="75"/>
      <c r="AX16" s="76"/>
      <c r="AY16" s="75"/>
      <c r="AZ16" s="76"/>
      <c r="BA16" s="75"/>
      <c r="BB16" s="76"/>
    </row>
    <row r="17" spans="1:54" s="51" customFormat="1" x14ac:dyDescent="0.25">
      <c r="A17" s="4"/>
      <c r="B17" s="6"/>
      <c r="C17" s="6"/>
      <c r="D17" s="5">
        <v>0</v>
      </c>
      <c r="E17" s="5"/>
      <c r="F17" s="5"/>
      <c r="G17" s="5"/>
      <c r="H17" s="53" t="s">
        <v>31</v>
      </c>
      <c r="I17" s="6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64"/>
      <c r="AU17" s="75"/>
      <c r="AV17" s="76"/>
      <c r="AW17" s="75"/>
      <c r="AX17" s="76"/>
      <c r="AY17" s="75"/>
      <c r="AZ17" s="76"/>
      <c r="BA17" s="75"/>
      <c r="BB17" s="76"/>
    </row>
    <row r="18" spans="1:54" s="51" customFormat="1" ht="30" x14ac:dyDescent="0.25">
      <c r="A18" s="4"/>
      <c r="B18" s="6"/>
      <c r="C18" s="6"/>
      <c r="D18" s="6"/>
      <c r="E18" s="5">
        <v>1</v>
      </c>
      <c r="F18" s="5">
        <v>0</v>
      </c>
      <c r="G18" s="5"/>
      <c r="H18" s="53" t="s">
        <v>236</v>
      </c>
      <c r="I18" s="6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64"/>
      <c r="AU18" s="75"/>
      <c r="AV18" s="76"/>
      <c r="AW18" s="75"/>
      <c r="AX18" s="76"/>
      <c r="AY18" s="75"/>
      <c r="AZ18" s="76"/>
      <c r="BA18" s="75"/>
      <c r="BB18" s="76"/>
    </row>
    <row r="19" spans="1:54" s="51" customFormat="1" ht="30" x14ac:dyDescent="0.25">
      <c r="A19" s="4"/>
      <c r="B19" s="6"/>
      <c r="C19" s="6"/>
      <c r="D19" s="6"/>
      <c r="E19" s="6"/>
      <c r="F19" s="6"/>
      <c r="G19" s="5">
        <v>1</v>
      </c>
      <c r="H19" s="53" t="s">
        <v>241</v>
      </c>
      <c r="I19" s="244" t="s">
        <v>63</v>
      </c>
      <c r="J19" s="58">
        <v>0</v>
      </c>
      <c r="K19" s="58">
        <v>0</v>
      </c>
      <c r="L19" s="58">
        <v>0</v>
      </c>
      <c r="M19" s="58">
        <f>M20</f>
        <v>155</v>
      </c>
      <c r="N19" s="58">
        <f>N20</f>
        <v>155</v>
      </c>
      <c r="O19" s="58">
        <f>+AA19</f>
        <v>81</v>
      </c>
      <c r="P19" s="57">
        <f>P20</f>
        <v>0</v>
      </c>
      <c r="Q19" s="57">
        <f>Q20</f>
        <v>0</v>
      </c>
      <c r="R19" s="57">
        <f t="shared" ref="R19:AA19" si="5">R20</f>
        <v>0</v>
      </c>
      <c r="S19" s="57">
        <f t="shared" si="5"/>
        <v>0</v>
      </c>
      <c r="T19" s="57">
        <f t="shared" si="5"/>
        <v>0</v>
      </c>
      <c r="U19" s="57">
        <f t="shared" si="5"/>
        <v>0</v>
      </c>
      <c r="V19" s="57">
        <f>V20</f>
        <v>0</v>
      </c>
      <c r="W19" s="57">
        <f t="shared" si="5"/>
        <v>0</v>
      </c>
      <c r="X19" s="57">
        <f t="shared" si="5"/>
        <v>0</v>
      </c>
      <c r="Y19" s="57">
        <f t="shared" si="5"/>
        <v>0</v>
      </c>
      <c r="Z19" s="57">
        <f t="shared" si="5"/>
        <v>74</v>
      </c>
      <c r="AA19" s="57">
        <f t="shared" si="5"/>
        <v>81</v>
      </c>
      <c r="AB19" s="58">
        <v>0</v>
      </c>
      <c r="AC19" s="58">
        <v>0</v>
      </c>
      <c r="AD19" s="58">
        <v>0</v>
      </c>
      <c r="AE19" s="124">
        <v>517246754.30000001</v>
      </c>
      <c r="AF19" s="58">
        <f>+SUM(AH19:AS19)</f>
        <v>503019246.10000002</v>
      </c>
      <c r="AG19" s="58">
        <f>+AS19</f>
        <v>126523122.36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/>
      <c r="AN19" s="57">
        <v>0</v>
      </c>
      <c r="AO19" s="57"/>
      <c r="AP19" s="57"/>
      <c r="AQ19" s="57">
        <v>191742931.09</v>
      </c>
      <c r="AR19" s="57">
        <v>184753192.65000001</v>
      </c>
      <c r="AS19" s="64">
        <v>126523122.36</v>
      </c>
      <c r="AU19" s="75"/>
      <c r="AV19" s="76"/>
      <c r="AW19" s="75"/>
      <c r="AX19" s="76"/>
      <c r="AY19" s="75"/>
      <c r="AZ19" s="76"/>
      <c r="BA19" s="75"/>
      <c r="BB19" s="76"/>
    </row>
    <row r="20" spans="1:54" s="51" customFormat="1" x14ac:dyDescent="0.25">
      <c r="A20" s="4"/>
      <c r="B20" s="6"/>
      <c r="C20" s="6"/>
      <c r="D20" s="6"/>
      <c r="E20" s="6"/>
      <c r="F20" s="6"/>
      <c r="G20" s="6">
        <v>2</v>
      </c>
      <c r="H20" s="110" t="s">
        <v>237</v>
      </c>
      <c r="I20" s="6" t="s">
        <v>63</v>
      </c>
      <c r="J20" s="57">
        <v>0</v>
      </c>
      <c r="K20" s="57">
        <v>0</v>
      </c>
      <c r="L20" s="57">
        <v>0</v>
      </c>
      <c r="M20" s="57">
        <v>155</v>
      </c>
      <c r="N20" s="57">
        <f>+SUM(P20:AA20)</f>
        <v>155</v>
      </c>
      <c r="O20" s="58">
        <f>+AA20</f>
        <v>81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74</v>
      </c>
      <c r="AA20" s="57">
        <v>81</v>
      </c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64"/>
      <c r="AU20" s="75"/>
      <c r="AV20" s="76"/>
      <c r="AW20" s="75"/>
      <c r="AX20" s="76"/>
      <c r="AY20" s="75"/>
      <c r="AZ20" s="76"/>
      <c r="BA20" s="75"/>
      <c r="BB20" s="76"/>
    </row>
    <row r="21" spans="1:54" s="51" customFormat="1" ht="30" x14ac:dyDescent="0.25">
      <c r="A21" s="4"/>
      <c r="B21" s="6"/>
      <c r="C21" s="6"/>
      <c r="D21" s="6"/>
      <c r="E21" s="5">
        <v>4</v>
      </c>
      <c r="F21" s="5">
        <v>0</v>
      </c>
      <c r="G21" s="5"/>
      <c r="H21" s="53" t="s">
        <v>238</v>
      </c>
      <c r="I21" s="6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64"/>
      <c r="AU21" s="75"/>
      <c r="AV21" s="76"/>
      <c r="AW21" s="75"/>
      <c r="AX21" s="76"/>
      <c r="AY21" s="75"/>
      <c r="AZ21" s="76"/>
      <c r="BA21" s="75"/>
      <c r="BB21" s="76"/>
    </row>
    <row r="22" spans="1:54" s="51" customFormat="1" ht="30" x14ac:dyDescent="0.25">
      <c r="A22" s="4"/>
      <c r="B22" s="6"/>
      <c r="C22" s="6"/>
      <c r="D22" s="6"/>
      <c r="E22" s="6"/>
      <c r="F22" s="6"/>
      <c r="G22" s="5">
        <v>1</v>
      </c>
      <c r="H22" s="53" t="s">
        <v>239</v>
      </c>
      <c r="I22" s="244" t="s">
        <v>34</v>
      </c>
      <c r="J22" s="58">
        <v>0</v>
      </c>
      <c r="K22" s="58">
        <v>0</v>
      </c>
      <c r="L22" s="58">
        <v>0</v>
      </c>
      <c r="M22" s="58">
        <v>1</v>
      </c>
      <c r="N22" s="58">
        <f>N23</f>
        <v>1</v>
      </c>
      <c r="O22" s="58">
        <f>+AA22</f>
        <v>1</v>
      </c>
      <c r="P22" s="57">
        <f>P23</f>
        <v>0</v>
      </c>
      <c r="Q22" s="57">
        <f>Q23</f>
        <v>0</v>
      </c>
      <c r="R22" s="57">
        <f t="shared" ref="R22:AA22" si="6">R23</f>
        <v>0</v>
      </c>
      <c r="S22" s="57">
        <f t="shared" si="6"/>
        <v>0</v>
      </c>
      <c r="T22" s="57">
        <f t="shared" si="6"/>
        <v>0</v>
      </c>
      <c r="U22" s="57">
        <f t="shared" si="6"/>
        <v>0</v>
      </c>
      <c r="V22" s="57">
        <f>V23</f>
        <v>0</v>
      </c>
      <c r="W22" s="57">
        <f t="shared" si="6"/>
        <v>0</v>
      </c>
      <c r="X22" s="57">
        <f t="shared" si="6"/>
        <v>0</v>
      </c>
      <c r="Y22" s="57">
        <f t="shared" si="6"/>
        <v>0</v>
      </c>
      <c r="Z22" s="57">
        <f t="shared" si="6"/>
        <v>0</v>
      </c>
      <c r="AA22" s="57">
        <f t="shared" si="6"/>
        <v>1</v>
      </c>
      <c r="AB22" s="58">
        <v>0</v>
      </c>
      <c r="AC22" s="58">
        <v>0</v>
      </c>
      <c r="AD22" s="58">
        <v>0</v>
      </c>
      <c r="AE22" s="58">
        <v>100000000</v>
      </c>
      <c r="AF22" s="58">
        <f>+SUM(AH22:AS22)</f>
        <v>0</v>
      </c>
      <c r="AG22" s="58">
        <f>+AS22</f>
        <v>0</v>
      </c>
      <c r="AH22" s="57">
        <v>0</v>
      </c>
      <c r="AI22" s="57">
        <v>0</v>
      </c>
      <c r="AJ22" s="57">
        <v>0</v>
      </c>
      <c r="AK22" s="57">
        <v>0</v>
      </c>
      <c r="AL22" s="57">
        <v>0</v>
      </c>
      <c r="AM22" s="57"/>
      <c r="AN22" s="57">
        <v>0</v>
      </c>
      <c r="AO22" s="57"/>
      <c r="AP22" s="57"/>
      <c r="AQ22" s="57"/>
      <c r="AR22" s="57">
        <v>0</v>
      </c>
      <c r="AS22" s="64">
        <v>0</v>
      </c>
      <c r="AU22" s="75"/>
      <c r="AV22" s="76"/>
      <c r="AW22" s="75"/>
      <c r="AX22" s="76"/>
      <c r="AY22" s="75"/>
      <c r="AZ22" s="76"/>
      <c r="BA22" s="75"/>
      <c r="BB22" s="76"/>
    </row>
    <row r="23" spans="1:54" s="51" customFormat="1" x14ac:dyDescent="0.25">
      <c r="A23" s="4"/>
      <c r="B23" s="6"/>
      <c r="C23" s="6"/>
      <c r="D23" s="6"/>
      <c r="E23" s="6"/>
      <c r="F23" s="6"/>
      <c r="G23" s="6">
        <v>3</v>
      </c>
      <c r="H23" s="110" t="s">
        <v>240</v>
      </c>
      <c r="I23" s="245" t="s">
        <v>34</v>
      </c>
      <c r="J23" s="57">
        <v>0</v>
      </c>
      <c r="K23" s="57">
        <v>0</v>
      </c>
      <c r="L23" s="57">
        <v>0</v>
      </c>
      <c r="M23" s="57">
        <v>1</v>
      </c>
      <c r="N23" s="57">
        <f>+SUM(P23:AA23)</f>
        <v>1</v>
      </c>
      <c r="O23" s="58">
        <f>+AA23</f>
        <v>1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57">
        <v>0</v>
      </c>
      <c r="AA23" s="57">
        <v>1</v>
      </c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64"/>
      <c r="AU23" s="75"/>
      <c r="AV23" s="76"/>
      <c r="AW23" s="75"/>
      <c r="AX23" s="76"/>
      <c r="AY23" s="75"/>
      <c r="AZ23" s="76"/>
      <c r="BA23" s="75"/>
      <c r="BB23" s="76"/>
    </row>
    <row r="24" spans="1:54" s="51" customFormat="1" ht="30" x14ac:dyDescent="0.2">
      <c r="A24" s="4"/>
      <c r="B24" s="5">
        <v>94</v>
      </c>
      <c r="C24" s="5"/>
      <c r="D24" s="5"/>
      <c r="E24" s="5"/>
      <c r="F24" s="5"/>
      <c r="G24" s="5"/>
      <c r="H24" s="53" t="s">
        <v>231</v>
      </c>
      <c r="I24" s="23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64"/>
      <c r="AU24" s="69"/>
      <c r="AV24" s="70"/>
      <c r="AW24" s="34"/>
      <c r="AX24" s="34"/>
      <c r="AY24" s="34"/>
      <c r="AZ24" s="34"/>
      <c r="BA24" s="34"/>
      <c r="BB24" s="34"/>
    </row>
    <row r="25" spans="1:54" s="51" customFormat="1" ht="45" x14ac:dyDescent="0.2">
      <c r="A25" s="4"/>
      <c r="B25" s="5"/>
      <c r="C25" s="5">
        <v>11</v>
      </c>
      <c r="D25" s="5"/>
      <c r="E25" s="5"/>
      <c r="F25" s="5"/>
      <c r="G25" s="5"/>
      <c r="H25" s="53" t="s">
        <v>232</v>
      </c>
      <c r="I25" s="23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64"/>
      <c r="AU25" s="69"/>
      <c r="AV25" s="70"/>
      <c r="AW25" s="34"/>
      <c r="AX25" s="34"/>
      <c r="AY25" s="34"/>
      <c r="AZ25" s="34"/>
      <c r="BA25" s="34"/>
      <c r="BB25" s="34"/>
    </row>
    <row r="26" spans="1:54" s="51" customFormat="1" ht="45" x14ac:dyDescent="0.2">
      <c r="A26" s="4"/>
      <c r="B26" s="5"/>
      <c r="C26" s="5"/>
      <c r="D26" s="5"/>
      <c r="E26" s="5">
        <v>1</v>
      </c>
      <c r="F26" s="5">
        <v>0</v>
      </c>
      <c r="G26" s="5"/>
      <c r="H26" s="53" t="s">
        <v>233</v>
      </c>
      <c r="I26" s="23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64"/>
      <c r="AU26" s="69"/>
      <c r="AV26" s="70"/>
      <c r="AW26" s="34"/>
      <c r="AX26" s="34"/>
      <c r="AY26" s="34"/>
      <c r="AZ26" s="34"/>
      <c r="BA26" s="34"/>
      <c r="BB26" s="34"/>
    </row>
    <row r="27" spans="1:54" s="51" customFormat="1" ht="30" x14ac:dyDescent="0.2">
      <c r="A27" s="4"/>
      <c r="B27" s="5"/>
      <c r="C27" s="5"/>
      <c r="D27" s="5"/>
      <c r="E27" s="5"/>
      <c r="F27" s="5"/>
      <c r="G27" s="5">
        <v>1</v>
      </c>
      <c r="H27" s="53" t="s">
        <v>234</v>
      </c>
      <c r="I27" s="237" t="s">
        <v>64</v>
      </c>
      <c r="J27" s="57">
        <f>J28</f>
        <v>0</v>
      </c>
      <c r="K27" s="57">
        <f>K28</f>
        <v>0</v>
      </c>
      <c r="L27" s="57">
        <f>L28</f>
        <v>0</v>
      </c>
      <c r="M27" s="57">
        <v>25</v>
      </c>
      <c r="N27" s="58">
        <f>N28</f>
        <v>22</v>
      </c>
      <c r="O27" s="58">
        <f>+AA27</f>
        <v>0</v>
      </c>
      <c r="P27" s="57">
        <f>P28</f>
        <v>0</v>
      </c>
      <c r="Q27" s="57">
        <f>Q28</f>
        <v>0</v>
      </c>
      <c r="R27" s="57">
        <f t="shared" ref="R27:AA27" si="7">R28</f>
        <v>0</v>
      </c>
      <c r="S27" s="57">
        <f t="shared" si="7"/>
        <v>0</v>
      </c>
      <c r="T27" s="57">
        <f t="shared" si="7"/>
        <v>0</v>
      </c>
      <c r="U27" s="57">
        <f t="shared" si="7"/>
        <v>0</v>
      </c>
      <c r="V27" s="57">
        <f>V28</f>
        <v>0</v>
      </c>
      <c r="W27" s="57">
        <f t="shared" si="7"/>
        <v>0</v>
      </c>
      <c r="X27" s="57">
        <f t="shared" si="7"/>
        <v>0</v>
      </c>
      <c r="Y27" s="57">
        <f t="shared" si="7"/>
        <v>0</v>
      </c>
      <c r="Z27" s="57">
        <v>22</v>
      </c>
      <c r="AA27" s="57">
        <f t="shared" si="7"/>
        <v>0</v>
      </c>
      <c r="AB27" s="58">
        <v>0</v>
      </c>
      <c r="AC27" s="58">
        <v>0</v>
      </c>
      <c r="AD27" s="58">
        <v>0</v>
      </c>
      <c r="AE27" s="58">
        <v>34825116</v>
      </c>
      <c r="AF27" s="58">
        <f>+SUM(AH27:AS27)</f>
        <v>34730758.260000005</v>
      </c>
      <c r="AG27" s="58">
        <f>+AS27</f>
        <v>652245</v>
      </c>
      <c r="AH27" s="57">
        <v>0</v>
      </c>
      <c r="AI27" s="57">
        <v>0</v>
      </c>
      <c r="AJ27" s="57">
        <v>29978513.260000002</v>
      </c>
      <c r="AK27" s="57">
        <v>0</v>
      </c>
      <c r="AL27" s="57">
        <v>0</v>
      </c>
      <c r="AM27" s="57"/>
      <c r="AN27" s="57">
        <v>0</v>
      </c>
      <c r="AO27" s="57"/>
      <c r="AP27" s="57"/>
      <c r="AQ27" s="57">
        <v>4100000</v>
      </c>
      <c r="AR27" s="57"/>
      <c r="AS27" s="64">
        <v>652245</v>
      </c>
      <c r="AU27" s="69"/>
      <c r="AV27" s="70"/>
      <c r="AW27" s="34"/>
      <c r="AX27" s="34"/>
      <c r="AY27" s="34"/>
      <c r="AZ27" s="34"/>
      <c r="BA27" s="34"/>
      <c r="BB27" s="34"/>
    </row>
    <row r="28" spans="1:54" s="51" customFormat="1" ht="27" x14ac:dyDescent="0.2">
      <c r="A28" s="59"/>
      <c r="B28" s="6"/>
      <c r="C28" s="6"/>
      <c r="D28" s="6"/>
      <c r="E28" s="6"/>
      <c r="F28" s="6"/>
      <c r="G28" s="6">
        <v>2</v>
      </c>
      <c r="H28" s="110" t="s">
        <v>234</v>
      </c>
      <c r="I28" s="199" t="s">
        <v>64</v>
      </c>
      <c r="J28" s="57">
        <v>0</v>
      </c>
      <c r="K28" s="57">
        <v>0</v>
      </c>
      <c r="L28" s="57">
        <v>0</v>
      </c>
      <c r="M28" s="57">
        <v>25</v>
      </c>
      <c r="N28" s="57">
        <f>+SUM(P28:AA28)</f>
        <v>22</v>
      </c>
      <c r="O28" s="58">
        <f>+AA28</f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22</v>
      </c>
      <c r="AA28" s="57">
        <v>0</v>
      </c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64"/>
      <c r="AU28" s="156"/>
      <c r="AV28" s="157"/>
      <c r="AW28" s="36"/>
      <c r="AX28" s="36"/>
      <c r="AY28" s="36"/>
      <c r="AZ28" s="36"/>
      <c r="BA28" s="36"/>
      <c r="BB28" s="36"/>
    </row>
    <row r="29" spans="1:54" s="51" customFormat="1" ht="45" x14ac:dyDescent="0.2">
      <c r="A29" s="59"/>
      <c r="B29" s="6"/>
      <c r="C29" s="6"/>
      <c r="D29" s="6"/>
      <c r="E29" s="6"/>
      <c r="F29" s="6"/>
      <c r="G29" s="6"/>
      <c r="H29" s="53" t="s">
        <v>252</v>
      </c>
      <c r="I29" s="199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64"/>
      <c r="AU29" s="197"/>
      <c r="AV29" s="198"/>
      <c r="AW29" s="3"/>
      <c r="AX29" s="3"/>
      <c r="AY29" s="3"/>
      <c r="AZ29" s="3"/>
      <c r="BA29" s="3"/>
      <c r="BB29" s="3"/>
    </row>
    <row r="30" spans="1:54" s="51" customFormat="1" ht="75" x14ac:dyDescent="0.2">
      <c r="A30" s="59"/>
      <c r="B30" s="6"/>
      <c r="C30" s="6">
        <v>14</v>
      </c>
      <c r="D30" s="6"/>
      <c r="E30" s="6"/>
      <c r="F30" s="6"/>
      <c r="G30" s="6"/>
      <c r="H30" s="53" t="s">
        <v>253</v>
      </c>
      <c r="I30" s="199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64"/>
      <c r="AU30" s="197"/>
      <c r="AV30" s="198"/>
      <c r="AW30" s="3"/>
      <c r="AX30" s="3"/>
      <c r="AY30" s="3"/>
      <c r="AZ30" s="3"/>
      <c r="BA30" s="3"/>
      <c r="BB30" s="3"/>
    </row>
    <row r="31" spans="1:54" s="51" customFormat="1" ht="67.5" x14ac:dyDescent="0.2">
      <c r="A31" s="59"/>
      <c r="B31" s="6"/>
      <c r="C31" s="6"/>
      <c r="D31" s="6"/>
      <c r="E31" s="6">
        <v>1</v>
      </c>
      <c r="F31" s="6"/>
      <c r="G31" s="6">
        <v>1</v>
      </c>
      <c r="H31" s="110" t="s">
        <v>254</v>
      </c>
      <c r="I31" s="199" t="s">
        <v>64</v>
      </c>
      <c r="J31" s="57">
        <v>0</v>
      </c>
      <c r="K31" s="57">
        <v>0</v>
      </c>
      <c r="L31" s="57">
        <v>0</v>
      </c>
      <c r="M31" s="57">
        <v>30</v>
      </c>
      <c r="N31" s="57">
        <f>+SUM(P31:AA31)</f>
        <v>30</v>
      </c>
      <c r="O31" s="58">
        <f>+AA31</f>
        <v>20</v>
      </c>
      <c r="P31" s="57"/>
      <c r="Q31" s="57"/>
      <c r="R31" s="57"/>
      <c r="S31" s="57"/>
      <c r="T31" s="57"/>
      <c r="U31" s="57"/>
      <c r="V31" s="57"/>
      <c r="W31" s="57">
        <v>0</v>
      </c>
      <c r="X31" s="57"/>
      <c r="Y31" s="57">
        <v>0</v>
      </c>
      <c r="Z31" s="57">
        <v>10</v>
      </c>
      <c r="AA31" s="57">
        <v>20</v>
      </c>
      <c r="AB31" s="57">
        <v>0</v>
      </c>
      <c r="AC31" s="57">
        <v>0</v>
      </c>
      <c r="AD31" s="57">
        <v>0</v>
      </c>
      <c r="AE31" s="58">
        <v>199886013.41</v>
      </c>
      <c r="AF31" s="58">
        <f>+AG31+AR31+AS31</f>
        <v>225299183.75</v>
      </c>
      <c r="AG31" s="58">
        <f>+AR31</f>
        <v>74463416.180000007</v>
      </c>
      <c r="AH31" s="57"/>
      <c r="AI31" s="57"/>
      <c r="AJ31" s="57"/>
      <c r="AK31" s="57"/>
      <c r="AL31" s="57"/>
      <c r="AM31" s="57"/>
      <c r="AN31" s="57"/>
      <c r="AO31" s="57"/>
      <c r="AP31" s="57"/>
      <c r="AQ31" s="57">
        <v>47102941.210000001</v>
      </c>
      <c r="AR31" s="304">
        <v>74463416.180000007</v>
      </c>
      <c r="AS31" s="64">
        <v>76372351.390000001</v>
      </c>
      <c r="AU31" s="197"/>
      <c r="AV31" s="198"/>
      <c r="AW31" s="3"/>
      <c r="AX31" s="3"/>
      <c r="AY31" s="3"/>
      <c r="AZ31" s="3"/>
      <c r="BA31" s="3"/>
      <c r="BB31" s="3"/>
    </row>
    <row r="32" spans="1:54" s="51" customFormat="1" ht="67.5" x14ac:dyDescent="0.2">
      <c r="A32" s="59"/>
      <c r="B32" s="6"/>
      <c r="C32" s="6"/>
      <c r="D32" s="6"/>
      <c r="E32" s="6">
        <v>1</v>
      </c>
      <c r="F32" s="6"/>
      <c r="G32" s="6">
        <v>2</v>
      </c>
      <c r="H32" s="110" t="s">
        <v>254</v>
      </c>
      <c r="I32" s="199" t="s">
        <v>64</v>
      </c>
      <c r="J32" s="57">
        <v>0</v>
      </c>
      <c r="K32" s="57">
        <v>0</v>
      </c>
      <c r="L32" s="57">
        <v>0</v>
      </c>
      <c r="M32" s="57">
        <v>30</v>
      </c>
      <c r="N32" s="57">
        <f>+SUM(P32:AA32)</f>
        <v>30</v>
      </c>
      <c r="O32" s="58">
        <f>+AA32</f>
        <v>20</v>
      </c>
      <c r="P32" s="57"/>
      <c r="Q32" s="57"/>
      <c r="R32" s="57"/>
      <c r="S32" s="57"/>
      <c r="T32" s="57"/>
      <c r="U32" s="57"/>
      <c r="V32" s="57"/>
      <c r="W32" s="57">
        <v>0</v>
      </c>
      <c r="X32" s="57"/>
      <c r="Y32" s="57">
        <v>0</v>
      </c>
      <c r="Z32" s="57">
        <v>10</v>
      </c>
      <c r="AA32" s="57">
        <v>20</v>
      </c>
      <c r="AB32" s="57">
        <v>0</v>
      </c>
      <c r="AC32" s="57">
        <v>0</v>
      </c>
      <c r="AD32" s="57"/>
      <c r="AE32" s="57"/>
      <c r="AF32" s="57"/>
      <c r="AG32" s="58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64"/>
      <c r="AU32" s="197"/>
      <c r="AV32" s="198"/>
      <c r="AW32" s="3"/>
      <c r="AX32" s="3"/>
      <c r="AY32" s="3"/>
      <c r="AZ32" s="3"/>
      <c r="BA32" s="3"/>
      <c r="BB32" s="3"/>
    </row>
    <row r="33" spans="1:45" ht="135" x14ac:dyDescent="0.25">
      <c r="A33" s="59"/>
      <c r="B33" s="6"/>
      <c r="C33" s="6">
        <v>15</v>
      </c>
      <c r="D33" s="6"/>
      <c r="E33" s="6"/>
      <c r="F33" s="6"/>
      <c r="G33" s="6"/>
      <c r="H33" s="53" t="s">
        <v>262</v>
      </c>
      <c r="I33" s="199" t="s">
        <v>64</v>
      </c>
      <c r="J33" s="57"/>
      <c r="K33" s="57"/>
      <c r="L33" s="57">
        <v>0</v>
      </c>
      <c r="M33" s="57">
        <v>24</v>
      </c>
      <c r="N33" s="57">
        <v>0</v>
      </c>
      <c r="O33" s="58">
        <f>+AA33</f>
        <v>0</v>
      </c>
      <c r="P33" s="57"/>
      <c r="Q33" s="57"/>
      <c r="R33" s="57"/>
      <c r="S33" s="57"/>
      <c r="T33" s="57"/>
      <c r="U33" s="57"/>
      <c r="V33" s="57"/>
      <c r="W33" s="57"/>
      <c r="X33" s="57"/>
      <c r="Y33" s="57">
        <v>0</v>
      </c>
      <c r="Z33" s="57">
        <v>0</v>
      </c>
      <c r="AA33" s="57">
        <v>0</v>
      </c>
      <c r="AB33" s="57"/>
      <c r="AC33" s="57"/>
      <c r="AD33" s="57"/>
      <c r="AE33" s="57"/>
      <c r="AF33" s="58">
        <f>+AG33+AR33+AS33</f>
        <v>83037230.420000002</v>
      </c>
      <c r="AG33" s="58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200"/>
      <c r="AS33" s="306">
        <v>83037230.420000002</v>
      </c>
    </row>
    <row r="34" spans="1:45" ht="41.25" thickBot="1" x14ac:dyDescent="0.3">
      <c r="A34" s="60"/>
      <c r="B34" s="61"/>
      <c r="C34" s="61"/>
      <c r="D34" s="61"/>
      <c r="E34" s="61">
        <v>1</v>
      </c>
      <c r="F34" s="61"/>
      <c r="G34" s="61"/>
      <c r="H34" s="62" t="s">
        <v>263</v>
      </c>
      <c r="I34" s="241" t="s">
        <v>64</v>
      </c>
      <c r="J34" s="246">
        <v>0</v>
      </c>
      <c r="K34" s="246">
        <v>0</v>
      </c>
      <c r="L34" s="246">
        <v>0</v>
      </c>
      <c r="M34" s="246">
        <v>24</v>
      </c>
      <c r="N34" s="246">
        <v>0</v>
      </c>
      <c r="O34" s="290">
        <f>+AA34</f>
        <v>0</v>
      </c>
      <c r="P34" s="246"/>
      <c r="Q34" s="246"/>
      <c r="R34" s="246"/>
      <c r="S34" s="246"/>
      <c r="T34" s="246"/>
      <c r="U34" s="246"/>
      <c r="V34" s="246"/>
      <c r="W34" s="246">
        <v>0</v>
      </c>
      <c r="X34" s="246"/>
      <c r="Y34" s="246">
        <v>0</v>
      </c>
      <c r="Z34" s="246">
        <v>0</v>
      </c>
      <c r="AA34" s="246">
        <v>0</v>
      </c>
      <c r="AB34" s="246">
        <v>0</v>
      </c>
      <c r="AC34" s="246">
        <v>0</v>
      </c>
      <c r="AD34" s="246">
        <v>0</v>
      </c>
      <c r="AE34" s="246">
        <v>0</v>
      </c>
      <c r="AF34" s="246">
        <v>0</v>
      </c>
      <c r="AG34" s="58">
        <f>+AR34</f>
        <v>0</v>
      </c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2"/>
      <c r="AS34" s="243"/>
    </row>
    <row r="35" spans="1:45" x14ac:dyDescent="0.25">
      <c r="L35" s="192"/>
      <c r="M35" s="192"/>
      <c r="N35" s="192"/>
      <c r="O35" s="192"/>
      <c r="Y35" s="192"/>
      <c r="AD35" s="192"/>
      <c r="AE35" s="192"/>
      <c r="AF35" s="192"/>
      <c r="AG35" s="192"/>
      <c r="AQ35" s="192">
        <f>SUM(AQ7:AQ34)</f>
        <v>257876171.37</v>
      </c>
    </row>
  </sheetData>
  <mergeCells count="7">
    <mergeCell ref="AY5:AZ5"/>
    <mergeCell ref="BA5:BB5"/>
    <mergeCell ref="A5:I5"/>
    <mergeCell ref="J5:O5"/>
    <mergeCell ref="AB5:AG5"/>
    <mergeCell ref="AU5:AV5"/>
    <mergeCell ref="AW5:AX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C69"/>
  <sheetViews>
    <sheetView zoomScale="85" zoomScaleNormal="85" workbookViewId="0">
      <pane ySplit="6" topLeftCell="A7" activePane="bottomLeft" state="frozen"/>
      <selection activeCell="J1" sqref="J1:K1048576"/>
      <selection pane="bottomLeft" activeCell="M15" sqref="M1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2" width="10.7109375" customWidth="1"/>
    <col min="13" max="15" width="13.7109375" customWidth="1"/>
    <col min="16" max="27" width="13.7109375" hidden="1" customWidth="1"/>
    <col min="28" max="29" width="16.28515625" hidden="1" customWidth="1"/>
    <col min="30" max="32" width="16.28515625" customWidth="1"/>
    <col min="33" max="33" width="14.7109375" customWidth="1"/>
    <col min="34" max="45" width="13.7109375" hidden="1" customWidth="1"/>
    <col min="46" max="46" width="11.5703125" customWidth="1"/>
    <col min="48" max="48" width="10.7109375" customWidth="1"/>
    <col min="49" max="49" width="18" bestFit="1" customWidth="1"/>
    <col min="50" max="50" width="10.7109375" customWidth="1"/>
    <col min="51" max="51" width="18" bestFit="1" customWidth="1"/>
    <col min="52" max="52" width="10.7109375" customWidth="1"/>
    <col min="53" max="53" width="18" bestFit="1" customWidth="1"/>
    <col min="54" max="54" width="10.7109375" customWidth="1"/>
    <col min="55" max="55" width="18" bestFit="1" customWidth="1"/>
  </cols>
  <sheetData>
    <row r="1" spans="1:55" ht="15" customHeight="1" x14ac:dyDescent="0.25">
      <c r="A1" s="32" t="s">
        <v>49</v>
      </c>
    </row>
    <row r="2" spans="1:55" ht="15" customHeight="1" x14ac:dyDescent="0.25">
      <c r="A2" s="32" t="s">
        <v>50</v>
      </c>
    </row>
    <row r="3" spans="1:55" ht="15" customHeight="1" x14ac:dyDescent="0.25">
      <c r="A3" s="32" t="str">
        <f>+'201. DS'!A3</f>
        <v>EJERCICIO FISCAL 2022 - ACTUALIZADA DICIEMBRE</v>
      </c>
    </row>
    <row r="4" spans="1:55" ht="15" customHeight="1" thickBot="1" x14ac:dyDescent="0.3"/>
    <row r="5" spans="1:55" x14ac:dyDescent="0.25">
      <c r="A5" s="327" t="s">
        <v>67</v>
      </c>
      <c r="B5" s="328"/>
      <c r="C5" s="328"/>
      <c r="D5" s="328"/>
      <c r="E5" s="328"/>
      <c r="F5" s="328"/>
      <c r="G5" s="328"/>
      <c r="H5" s="328"/>
      <c r="I5" s="328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29" t="s">
        <v>2</v>
      </c>
      <c r="AC5" s="329"/>
      <c r="AD5" s="329"/>
      <c r="AE5" s="329"/>
      <c r="AF5" s="329"/>
      <c r="AG5" s="330"/>
      <c r="AH5" s="15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0"/>
      <c r="AU5" s="50"/>
      <c r="AV5" s="326" t="s">
        <v>68</v>
      </c>
      <c r="AW5" s="326"/>
      <c r="AX5" s="326" t="s">
        <v>69</v>
      </c>
      <c r="AY5" s="326"/>
      <c r="AZ5" s="326" t="s">
        <v>70</v>
      </c>
      <c r="BA5" s="326"/>
      <c r="BB5" s="326" t="s">
        <v>84</v>
      </c>
      <c r="BC5" s="326"/>
    </row>
    <row r="6" spans="1:55" s="7" customFormat="1" ht="36.75" thickBot="1" x14ac:dyDescent="0.3">
      <c r="A6" s="238" t="s">
        <v>3</v>
      </c>
      <c r="B6" s="229" t="s">
        <v>4</v>
      </c>
      <c r="C6" s="229" t="s">
        <v>5</v>
      </c>
      <c r="D6" s="229" t="s">
        <v>6</v>
      </c>
      <c r="E6" s="229" t="s">
        <v>7</v>
      </c>
      <c r="F6" s="229" t="s">
        <v>8</v>
      </c>
      <c r="G6" s="229" t="s">
        <v>9</v>
      </c>
      <c r="H6" s="230" t="s">
        <v>10</v>
      </c>
      <c r="I6" s="231" t="s">
        <v>11</v>
      </c>
      <c r="J6" s="232" t="s">
        <v>12</v>
      </c>
      <c r="K6" s="232" t="s">
        <v>65</v>
      </c>
      <c r="L6" s="232" t="s">
        <v>13</v>
      </c>
      <c r="M6" s="232" t="s">
        <v>14</v>
      </c>
      <c r="N6" s="233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2" t="s">
        <v>22</v>
      </c>
      <c r="V6" s="233" t="s">
        <v>23</v>
      </c>
      <c r="W6" s="233" t="s">
        <v>24</v>
      </c>
      <c r="X6" s="233" t="s">
        <v>25</v>
      </c>
      <c r="Y6" s="233" t="s">
        <v>26</v>
      </c>
      <c r="Z6" s="233" t="s">
        <v>27</v>
      </c>
      <c r="AA6" s="233" t="s">
        <v>28</v>
      </c>
      <c r="AB6" s="296" t="s">
        <v>12</v>
      </c>
      <c r="AC6" s="296" t="s">
        <v>65</v>
      </c>
      <c r="AD6" s="296" t="s">
        <v>13</v>
      </c>
      <c r="AE6" s="296" t="s">
        <v>14</v>
      </c>
      <c r="AF6" s="297" t="s">
        <v>15</v>
      </c>
      <c r="AG6" s="298" t="s">
        <v>16</v>
      </c>
      <c r="AH6" s="299" t="s">
        <v>17</v>
      </c>
      <c r="AI6" s="297" t="s">
        <v>18</v>
      </c>
      <c r="AJ6" s="297" t="s">
        <v>19</v>
      </c>
      <c r="AK6" s="297" t="s">
        <v>20</v>
      </c>
      <c r="AL6" s="297" t="s">
        <v>21</v>
      </c>
      <c r="AM6" s="298" t="s">
        <v>22</v>
      </c>
      <c r="AN6" s="297" t="s">
        <v>23</v>
      </c>
      <c r="AO6" s="297" t="s">
        <v>24</v>
      </c>
      <c r="AP6" s="297" t="s">
        <v>25</v>
      </c>
      <c r="AQ6" s="297" t="s">
        <v>26</v>
      </c>
      <c r="AR6" s="297" t="s">
        <v>27</v>
      </c>
      <c r="AS6" s="29" t="s">
        <v>28</v>
      </c>
      <c r="AT6" s="92"/>
      <c r="AU6" s="92"/>
      <c r="AV6" s="98" t="s">
        <v>54</v>
      </c>
      <c r="AW6" s="99" t="s">
        <v>2</v>
      </c>
      <c r="AX6" s="98" t="s">
        <v>54</v>
      </c>
      <c r="AY6" s="99" t="s">
        <v>2</v>
      </c>
      <c r="AZ6" s="98" t="s">
        <v>54</v>
      </c>
      <c r="BA6" s="99" t="s">
        <v>2</v>
      </c>
      <c r="BB6" s="98" t="s">
        <v>54</v>
      </c>
      <c r="BC6" s="99" t="s">
        <v>2</v>
      </c>
    </row>
    <row r="7" spans="1:55" ht="30" x14ac:dyDescent="0.3">
      <c r="A7" s="4"/>
      <c r="B7" s="93">
        <v>11</v>
      </c>
      <c r="C7" s="5"/>
      <c r="D7" s="5"/>
      <c r="E7" s="5"/>
      <c r="F7" s="5"/>
      <c r="G7" s="5"/>
      <c r="H7" s="53" t="s">
        <v>58</v>
      </c>
      <c r="I7" s="237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291"/>
      <c r="AT7" s="77"/>
      <c r="AU7" s="77"/>
      <c r="AV7" s="80"/>
      <c r="AW7" s="81"/>
      <c r="AX7" s="52"/>
      <c r="AY7" s="81"/>
      <c r="AZ7" s="52"/>
      <c r="BA7" s="82"/>
      <c r="BB7" s="52"/>
      <c r="BC7" s="82"/>
    </row>
    <row r="8" spans="1:55" ht="15.75" x14ac:dyDescent="0.3">
      <c r="A8" s="4"/>
      <c r="B8" s="93"/>
      <c r="C8" s="5">
        <v>0</v>
      </c>
      <c r="D8" s="5"/>
      <c r="E8" s="5"/>
      <c r="F8" s="5"/>
      <c r="G8" s="5"/>
      <c r="H8" s="53" t="s">
        <v>30</v>
      </c>
      <c r="I8" s="237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292"/>
      <c r="AT8" s="77"/>
      <c r="AU8" s="77"/>
      <c r="AV8" s="80"/>
      <c r="AW8" s="81"/>
      <c r="AX8" s="52"/>
      <c r="AY8" s="81"/>
      <c r="AZ8" s="52"/>
      <c r="BA8" s="82"/>
      <c r="BB8" s="52"/>
      <c r="BC8" s="82"/>
    </row>
    <row r="9" spans="1:55" ht="15.75" x14ac:dyDescent="0.3">
      <c r="A9" s="4"/>
      <c r="B9" s="93"/>
      <c r="C9" s="5"/>
      <c r="D9" s="5">
        <v>0</v>
      </c>
      <c r="E9" s="5"/>
      <c r="F9" s="5"/>
      <c r="G9" s="5"/>
      <c r="H9" s="339" t="s">
        <v>31</v>
      </c>
      <c r="I9" s="340"/>
      <c r="J9" s="341"/>
      <c r="K9" s="341"/>
      <c r="L9" s="341"/>
      <c r="M9" s="341"/>
      <c r="N9" s="341"/>
      <c r="O9" s="341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292"/>
      <c r="AT9" s="77"/>
      <c r="AU9" s="77"/>
      <c r="AV9" s="80"/>
      <c r="AW9" s="81"/>
      <c r="AX9" s="52"/>
      <c r="AY9" s="81"/>
      <c r="AZ9" s="52"/>
      <c r="BA9" s="82"/>
      <c r="BB9" s="52"/>
      <c r="BC9" s="82"/>
    </row>
    <row r="10" spans="1:55" ht="15.75" x14ac:dyDescent="0.3">
      <c r="A10" s="4"/>
      <c r="B10" s="93"/>
      <c r="C10" s="5"/>
      <c r="D10" s="5"/>
      <c r="E10" s="5">
        <v>1</v>
      </c>
      <c r="F10" s="5">
        <v>0</v>
      </c>
      <c r="G10" s="5"/>
      <c r="H10" s="339" t="s">
        <v>59</v>
      </c>
      <c r="I10" s="340"/>
      <c r="J10" s="341"/>
      <c r="K10" s="341"/>
      <c r="L10" s="341"/>
      <c r="M10" s="341"/>
      <c r="N10" s="341"/>
      <c r="O10" s="341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4">
        <v>30486815</v>
      </c>
      <c r="AC10" s="94">
        <v>24604500</v>
      </c>
      <c r="AD10" s="94">
        <v>24604500</v>
      </c>
      <c r="AE10" s="94">
        <v>25004500</v>
      </c>
      <c r="AF10" s="94">
        <f>15626346.82+AG10+AR10</f>
        <v>22445196.350000001</v>
      </c>
      <c r="AG10" s="94">
        <f>+AS10</f>
        <v>3603335.21</v>
      </c>
      <c r="AH10" s="193">
        <v>1216400.69</v>
      </c>
      <c r="AI10" s="193">
        <v>1077918.06</v>
      </c>
      <c r="AJ10" s="193">
        <v>1424923.11</v>
      </c>
      <c r="AK10" s="193">
        <v>1726852.79</v>
      </c>
      <c r="AL10" s="193">
        <v>1984438.42</v>
      </c>
      <c r="AM10" s="193">
        <v>345002.1</v>
      </c>
      <c r="AN10" s="196">
        <v>2734505.41</v>
      </c>
      <c r="AO10" s="94">
        <v>198405.21</v>
      </c>
      <c r="AP10" s="94">
        <v>206362.67</v>
      </c>
      <c r="AQ10" s="56">
        <v>811679.15</v>
      </c>
      <c r="AR10" s="94">
        <v>3215514.32</v>
      </c>
      <c r="AS10" s="293">
        <v>3603335.21</v>
      </c>
      <c r="AT10" s="83">
        <f>AG10/AE10</f>
        <v>0.14410746905557001</v>
      </c>
      <c r="AU10" s="77"/>
      <c r="AV10" s="80"/>
      <c r="AW10" s="81"/>
      <c r="AX10" s="52"/>
      <c r="AY10" s="81"/>
      <c r="AZ10" s="52"/>
      <c r="BA10" s="82"/>
      <c r="BB10" s="52"/>
      <c r="BC10" s="82"/>
    </row>
    <row r="11" spans="1:55" ht="15.75" x14ac:dyDescent="0.3">
      <c r="A11" s="4">
        <v>4</v>
      </c>
      <c r="B11" s="5"/>
      <c r="C11" s="5"/>
      <c r="D11" s="5"/>
      <c r="E11" s="5"/>
      <c r="F11" s="5"/>
      <c r="G11" s="5">
        <v>1</v>
      </c>
      <c r="H11" s="342" t="s">
        <v>60</v>
      </c>
      <c r="I11" s="340" t="s">
        <v>34</v>
      </c>
      <c r="J11" s="341">
        <f t="shared" ref="J11:Z11" si="0">+J12</f>
        <v>120</v>
      </c>
      <c r="K11" s="341">
        <f>K12</f>
        <v>120</v>
      </c>
      <c r="L11" s="341">
        <f>L12</f>
        <v>120</v>
      </c>
      <c r="M11" s="341">
        <f>M12</f>
        <v>120</v>
      </c>
      <c r="N11" s="341">
        <f>13+Z11+AA11</f>
        <v>120</v>
      </c>
      <c r="O11" s="341">
        <f>+AA11</f>
        <v>106</v>
      </c>
      <c r="P11" s="320">
        <f t="shared" si="0"/>
        <v>0</v>
      </c>
      <c r="Q11" s="320">
        <f t="shared" si="0"/>
        <v>0</v>
      </c>
      <c r="R11" s="320">
        <f t="shared" si="0"/>
        <v>0</v>
      </c>
      <c r="S11" s="320">
        <v>2</v>
      </c>
      <c r="T11" s="320">
        <f t="shared" si="0"/>
        <v>4</v>
      </c>
      <c r="U11" s="320">
        <f t="shared" si="0"/>
        <v>0</v>
      </c>
      <c r="V11" s="320">
        <f t="shared" si="0"/>
        <v>1</v>
      </c>
      <c r="W11" s="320">
        <f t="shared" si="0"/>
        <v>0</v>
      </c>
      <c r="X11" s="320">
        <f t="shared" si="0"/>
        <v>1</v>
      </c>
      <c r="Y11" s="320">
        <v>5</v>
      </c>
      <c r="Z11" s="320">
        <f t="shared" si="0"/>
        <v>1</v>
      </c>
      <c r="AA11" s="320">
        <v>106</v>
      </c>
      <c r="AB11" s="9"/>
      <c r="AC11" s="9"/>
      <c r="AD11" s="9"/>
      <c r="AE11" s="9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94"/>
      <c r="AT11" s="204"/>
      <c r="AU11" s="77"/>
      <c r="AV11" s="205">
        <f>+AV12</f>
        <v>124</v>
      </c>
      <c r="AW11" s="84">
        <f>+AW12</f>
        <v>31248985.375</v>
      </c>
      <c r="AX11" s="52">
        <v>132</v>
      </c>
      <c r="AY11" s="81">
        <f>+AY12</f>
        <v>31794977.296124995</v>
      </c>
      <c r="AZ11" s="52">
        <f>+AZ12</f>
        <v>140</v>
      </c>
      <c r="BA11" s="81">
        <f>+BA12</f>
        <v>32351090.524579369</v>
      </c>
      <c r="BB11" s="52">
        <f>+BB12</f>
        <v>146</v>
      </c>
      <c r="BC11" s="84">
        <f>+BC12</f>
        <v>32917525.165685866</v>
      </c>
    </row>
    <row r="12" spans="1:55" ht="15.75" x14ac:dyDescent="0.3">
      <c r="A12" s="4"/>
      <c r="B12" s="5"/>
      <c r="C12" s="5"/>
      <c r="D12" s="5"/>
      <c r="E12" s="6"/>
      <c r="F12" s="6"/>
      <c r="G12" s="6">
        <v>9</v>
      </c>
      <c r="H12" s="343" t="s">
        <v>60</v>
      </c>
      <c r="I12" s="344" t="s">
        <v>34</v>
      </c>
      <c r="J12" s="345">
        <v>120</v>
      </c>
      <c r="K12" s="345">
        <v>120</v>
      </c>
      <c r="L12" s="345">
        <v>120</v>
      </c>
      <c r="M12" s="345">
        <v>120</v>
      </c>
      <c r="N12" s="345">
        <f>13+Z12+AA12</f>
        <v>120</v>
      </c>
      <c r="O12" s="341">
        <f>+AA12</f>
        <v>106</v>
      </c>
      <c r="P12" s="319">
        <v>0</v>
      </c>
      <c r="Q12" s="319">
        <v>0</v>
      </c>
      <c r="R12" s="319">
        <v>0</v>
      </c>
      <c r="S12" s="319">
        <v>2</v>
      </c>
      <c r="T12" s="319">
        <v>4</v>
      </c>
      <c r="U12" s="319">
        <v>0</v>
      </c>
      <c r="V12" s="319">
        <v>1</v>
      </c>
      <c r="W12" s="319">
        <v>0</v>
      </c>
      <c r="X12" s="319">
        <v>1</v>
      </c>
      <c r="Y12" s="319">
        <v>5</v>
      </c>
      <c r="Z12" s="319">
        <v>1</v>
      </c>
      <c r="AA12" s="319">
        <v>106</v>
      </c>
      <c r="AB12" s="11"/>
      <c r="AC12" s="11"/>
      <c r="AD12" s="11"/>
      <c r="AE12" s="11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94"/>
      <c r="AT12" s="206"/>
      <c r="AU12" s="50"/>
      <c r="AV12" s="207">
        <v>124</v>
      </c>
      <c r="AW12" s="88">
        <v>31248985.375</v>
      </c>
      <c r="AX12" s="49">
        <v>132</v>
      </c>
      <c r="AY12" s="88">
        <v>31794977.296124995</v>
      </c>
      <c r="AZ12" s="52">
        <v>140</v>
      </c>
      <c r="BA12" s="81">
        <v>32351090.524579369</v>
      </c>
      <c r="BB12" s="52">
        <v>146</v>
      </c>
      <c r="BC12" s="100">
        <v>32917525.165685866</v>
      </c>
    </row>
    <row r="13" spans="1:55" ht="30" x14ac:dyDescent="0.25">
      <c r="A13" s="4"/>
      <c r="B13" s="5"/>
      <c r="C13" s="5">
        <v>1</v>
      </c>
      <c r="D13" s="5"/>
      <c r="E13" s="5"/>
      <c r="F13" s="5"/>
      <c r="G13" s="5"/>
      <c r="H13" s="342" t="s">
        <v>71</v>
      </c>
      <c r="I13" s="340"/>
      <c r="J13" s="341"/>
      <c r="K13" s="341"/>
      <c r="L13" s="341"/>
      <c r="M13" s="341"/>
      <c r="N13" s="341"/>
      <c r="O13" s="341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94"/>
      <c r="AT13" s="206"/>
      <c r="AU13" s="50"/>
      <c r="AV13" s="207"/>
      <c r="AW13" s="88"/>
      <c r="AX13" s="49"/>
      <c r="AY13" s="88"/>
      <c r="AZ13" s="49"/>
      <c r="BA13" s="76"/>
      <c r="BB13" s="49"/>
      <c r="BC13" s="76"/>
    </row>
    <row r="14" spans="1:55" x14ac:dyDescent="0.25">
      <c r="A14" s="4"/>
      <c r="B14" s="5"/>
      <c r="C14" s="5"/>
      <c r="D14" s="5">
        <v>0</v>
      </c>
      <c r="E14" s="6"/>
      <c r="F14" s="6"/>
      <c r="G14" s="6"/>
      <c r="H14" s="342" t="s">
        <v>31</v>
      </c>
      <c r="I14" s="344"/>
      <c r="J14" s="345"/>
      <c r="K14" s="345"/>
      <c r="L14" s="345"/>
      <c r="M14" s="345"/>
      <c r="N14" s="345"/>
      <c r="O14" s="345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94"/>
      <c r="AT14" s="206"/>
      <c r="AU14" s="50"/>
      <c r="AV14" s="207"/>
      <c r="AW14" s="88"/>
      <c r="AX14" s="49"/>
      <c r="AY14" s="88"/>
      <c r="AZ14" s="49"/>
      <c r="BA14" s="76"/>
      <c r="BB14" s="49"/>
      <c r="BC14" s="76"/>
    </row>
    <row r="15" spans="1:55" ht="30" x14ac:dyDescent="0.3">
      <c r="A15" s="4"/>
      <c r="B15" s="5"/>
      <c r="C15" s="5"/>
      <c r="D15" s="5"/>
      <c r="E15" s="6">
        <v>1</v>
      </c>
      <c r="F15" s="6"/>
      <c r="G15" s="5"/>
      <c r="H15" s="342" t="s">
        <v>72</v>
      </c>
      <c r="I15" s="344"/>
      <c r="J15" s="341"/>
      <c r="K15" s="341"/>
      <c r="L15" s="341"/>
      <c r="M15" s="341"/>
      <c r="N15" s="341"/>
      <c r="O15" s="341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203">
        <v>5240000</v>
      </c>
      <c r="AC15" s="203">
        <v>5240000</v>
      </c>
      <c r="AD15" s="203">
        <v>5240000</v>
      </c>
      <c r="AE15" s="203">
        <v>0</v>
      </c>
      <c r="AF15" s="208">
        <v>0</v>
      </c>
      <c r="AG15" s="94">
        <f>+AS15</f>
        <v>0</v>
      </c>
      <c r="AH15" s="203">
        <v>0</v>
      </c>
      <c r="AI15" s="203">
        <v>0</v>
      </c>
      <c r="AJ15" s="203">
        <v>0</v>
      </c>
      <c r="AK15" s="203">
        <v>0</v>
      </c>
      <c r="AL15" s="203">
        <v>0</v>
      </c>
      <c r="AM15" s="203">
        <v>0</v>
      </c>
      <c r="AN15" s="203">
        <v>0</v>
      </c>
      <c r="AO15" s="203">
        <v>0</v>
      </c>
      <c r="AP15" s="203">
        <v>0</v>
      </c>
      <c r="AQ15" s="203">
        <v>0</v>
      </c>
      <c r="AR15" s="203">
        <v>0</v>
      </c>
      <c r="AS15" s="294">
        <v>0</v>
      </c>
      <c r="AT15" s="204" t="e">
        <f>AG15/AE15</f>
        <v>#DIV/0!</v>
      </c>
      <c r="AU15" s="50"/>
      <c r="AV15" s="205"/>
      <c r="AW15" s="88"/>
      <c r="AX15" s="49"/>
      <c r="AY15" s="88"/>
      <c r="AZ15" s="49"/>
      <c r="BA15" s="76"/>
      <c r="BB15" s="49"/>
      <c r="BC15" s="76"/>
    </row>
    <row r="16" spans="1:55" ht="30" x14ac:dyDescent="0.3">
      <c r="A16" s="4">
        <v>4</v>
      </c>
      <c r="B16" s="5"/>
      <c r="C16" s="5"/>
      <c r="D16" s="5"/>
      <c r="E16" s="5"/>
      <c r="F16" s="5"/>
      <c r="G16" s="5">
        <v>1</v>
      </c>
      <c r="H16" s="342" t="s">
        <v>73</v>
      </c>
      <c r="I16" s="346" t="s">
        <v>64</v>
      </c>
      <c r="J16" s="341">
        <f>+J17</f>
        <v>11</v>
      </c>
      <c r="K16" s="341">
        <f>K17</f>
        <v>11</v>
      </c>
      <c r="L16" s="341">
        <f>L17</f>
        <v>11</v>
      </c>
      <c r="M16" s="341">
        <v>11</v>
      </c>
      <c r="N16" s="341">
        <f>N17</f>
        <v>11</v>
      </c>
      <c r="O16" s="341">
        <f>+AA16</f>
        <v>11</v>
      </c>
      <c r="P16" s="320">
        <f t="shared" ref="P16:Z16" si="1">+P17</f>
        <v>0</v>
      </c>
      <c r="Q16" s="320">
        <f t="shared" si="1"/>
        <v>0</v>
      </c>
      <c r="R16" s="320">
        <f t="shared" si="1"/>
        <v>0</v>
      </c>
      <c r="S16" s="320">
        <f t="shared" si="1"/>
        <v>0</v>
      </c>
      <c r="T16" s="320">
        <f t="shared" si="1"/>
        <v>0</v>
      </c>
      <c r="U16" s="320">
        <f t="shared" si="1"/>
        <v>0</v>
      </c>
      <c r="V16" s="320">
        <f t="shared" si="1"/>
        <v>0</v>
      </c>
      <c r="W16" s="320">
        <f t="shared" si="1"/>
        <v>0</v>
      </c>
      <c r="X16" s="320">
        <v>0</v>
      </c>
      <c r="Y16" s="320">
        <f t="shared" si="1"/>
        <v>0</v>
      </c>
      <c r="Z16" s="320">
        <f t="shared" si="1"/>
        <v>0</v>
      </c>
      <c r="AA16" s="320">
        <v>11</v>
      </c>
      <c r="AB16" s="9"/>
      <c r="AC16" s="9"/>
      <c r="AD16" s="9"/>
      <c r="AE16" s="9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94"/>
      <c r="AT16" s="204"/>
      <c r="AU16" s="77"/>
      <c r="AV16" s="89">
        <f>+AV17</f>
        <v>11</v>
      </c>
      <c r="AW16" s="90">
        <f>+AW17</f>
        <v>5260000</v>
      </c>
      <c r="AX16" s="89">
        <f t="shared" ref="AX16:BC16" si="2">+AX17</f>
        <v>11</v>
      </c>
      <c r="AY16" s="90">
        <f t="shared" si="2"/>
        <v>5280000</v>
      </c>
      <c r="AZ16" s="89">
        <f t="shared" si="2"/>
        <v>11</v>
      </c>
      <c r="BA16" s="90">
        <f t="shared" si="2"/>
        <v>5240000</v>
      </c>
      <c r="BB16" s="89">
        <f t="shared" si="2"/>
        <v>11</v>
      </c>
      <c r="BC16" s="90">
        <f t="shared" si="2"/>
        <v>5240000</v>
      </c>
    </row>
    <row r="17" spans="1:55" ht="27" x14ac:dyDescent="0.25">
      <c r="A17" s="4"/>
      <c r="B17" s="5"/>
      <c r="C17" s="5"/>
      <c r="D17" s="5"/>
      <c r="E17" s="6"/>
      <c r="F17" s="6"/>
      <c r="G17" s="6">
        <v>4</v>
      </c>
      <c r="H17" s="343" t="s">
        <v>73</v>
      </c>
      <c r="I17" s="347" t="s">
        <v>64</v>
      </c>
      <c r="J17" s="345">
        <v>11</v>
      </c>
      <c r="K17" s="345">
        <v>11</v>
      </c>
      <c r="L17" s="345">
        <v>11</v>
      </c>
      <c r="M17" s="345">
        <v>11</v>
      </c>
      <c r="N17" s="345">
        <f>SUM(P17:AA17)</f>
        <v>11</v>
      </c>
      <c r="O17" s="341">
        <f>+AA17</f>
        <v>11</v>
      </c>
      <c r="P17" s="319">
        <v>0</v>
      </c>
      <c r="Q17" s="319">
        <v>0</v>
      </c>
      <c r="R17" s="319">
        <v>0</v>
      </c>
      <c r="S17" s="319">
        <v>0</v>
      </c>
      <c r="T17" s="319">
        <v>0</v>
      </c>
      <c r="U17" s="319">
        <v>0</v>
      </c>
      <c r="V17" s="319">
        <v>0</v>
      </c>
      <c r="W17" s="319">
        <v>0</v>
      </c>
      <c r="X17" s="319">
        <v>0</v>
      </c>
      <c r="Y17" s="319">
        <v>0</v>
      </c>
      <c r="Z17" s="319">
        <v>0</v>
      </c>
      <c r="AA17" s="319">
        <v>11</v>
      </c>
      <c r="AB17" s="11"/>
      <c r="AC17" s="11"/>
      <c r="AD17" s="11"/>
      <c r="AE17" s="11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94"/>
      <c r="AT17" s="206"/>
      <c r="AU17" s="50"/>
      <c r="AV17" s="209">
        <v>11</v>
      </c>
      <c r="AW17" s="210">
        <v>5260000</v>
      </c>
      <c r="AX17" s="209">
        <v>11</v>
      </c>
      <c r="AY17" s="210">
        <v>5280000</v>
      </c>
      <c r="AZ17" s="209">
        <v>11</v>
      </c>
      <c r="BA17" s="210">
        <v>5240000</v>
      </c>
      <c r="BB17" s="209">
        <v>11</v>
      </c>
      <c r="BC17" s="210">
        <v>5240000</v>
      </c>
    </row>
    <row r="18" spans="1:55" ht="30" x14ac:dyDescent="0.3">
      <c r="A18" s="4"/>
      <c r="B18" s="5"/>
      <c r="C18" s="5"/>
      <c r="D18" s="5"/>
      <c r="E18" s="5">
        <v>2</v>
      </c>
      <c r="F18" s="6"/>
      <c r="G18" s="6"/>
      <c r="H18" s="342" t="s">
        <v>74</v>
      </c>
      <c r="I18" s="344"/>
      <c r="J18" s="345"/>
      <c r="K18" s="345"/>
      <c r="L18" s="345"/>
      <c r="M18" s="345"/>
      <c r="N18" s="345"/>
      <c r="O18" s="345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203">
        <v>1150953245</v>
      </c>
      <c r="AC18" s="203">
        <v>785849853</v>
      </c>
      <c r="AD18" s="203">
        <v>839993853</v>
      </c>
      <c r="AE18" s="203">
        <v>963493225</v>
      </c>
      <c r="AF18" s="208">
        <f>495320247.96+AG18+AR18</f>
        <v>918011311.87</v>
      </c>
      <c r="AG18" s="94">
        <f>+AS18</f>
        <v>306982911.31999999</v>
      </c>
      <c r="AH18" s="203">
        <v>0</v>
      </c>
      <c r="AI18" s="203">
        <v>22488951.609999999</v>
      </c>
      <c r="AJ18" s="203">
        <v>44029606.659999996</v>
      </c>
      <c r="AK18" s="203">
        <v>47865100.490000002</v>
      </c>
      <c r="AL18" s="203">
        <v>44035997.659999996</v>
      </c>
      <c r="AM18" s="203">
        <v>66558996.979999997</v>
      </c>
      <c r="AN18" s="203">
        <v>267356330.11000001</v>
      </c>
      <c r="AO18" s="203">
        <v>49616335.189999998</v>
      </c>
      <c r="AP18" s="203">
        <v>16233375.140000001</v>
      </c>
      <c r="AQ18" s="203">
        <v>126289148.38</v>
      </c>
      <c r="AR18" s="203">
        <v>115708152.59</v>
      </c>
      <c r="AS18" s="294">
        <v>306982911.31999999</v>
      </c>
      <c r="AT18" s="204">
        <f>AG18/AE18</f>
        <v>0.31861449915229034</v>
      </c>
      <c r="AU18" s="50"/>
      <c r="AV18" s="205"/>
      <c r="AW18" s="88"/>
      <c r="AX18" s="49"/>
      <c r="AY18" s="88"/>
      <c r="AZ18" s="49"/>
      <c r="BA18" s="76"/>
      <c r="BB18" s="49"/>
      <c r="BC18" s="76"/>
    </row>
    <row r="19" spans="1:55" ht="30" x14ac:dyDescent="0.3">
      <c r="A19" s="4">
        <v>4</v>
      </c>
      <c r="B19" s="5"/>
      <c r="C19" s="5"/>
      <c r="D19" s="5"/>
      <c r="E19" s="5"/>
      <c r="F19" s="5"/>
      <c r="G19" s="5">
        <v>1</v>
      </c>
      <c r="H19" s="342" t="s">
        <v>75</v>
      </c>
      <c r="I19" s="346" t="s">
        <v>63</v>
      </c>
      <c r="J19" s="341">
        <f>+J20</f>
        <v>6585</v>
      </c>
      <c r="K19" s="341">
        <f>+K20</f>
        <v>6585</v>
      </c>
      <c r="L19" s="341">
        <f>+L20</f>
        <v>6585</v>
      </c>
      <c r="M19" s="341">
        <f>+M20</f>
        <v>5974</v>
      </c>
      <c r="N19" s="341">
        <v>5974</v>
      </c>
      <c r="O19" s="341">
        <f>+AA19</f>
        <v>1652</v>
      </c>
      <c r="P19" s="320">
        <f t="shared" ref="P19:X19" si="3">+P20</f>
        <v>0</v>
      </c>
      <c r="Q19" s="320">
        <f t="shared" si="3"/>
        <v>0</v>
      </c>
      <c r="R19" s="320">
        <f t="shared" si="3"/>
        <v>395</v>
      </c>
      <c r="S19" s="320">
        <f t="shared" si="3"/>
        <v>202</v>
      </c>
      <c r="T19" s="320">
        <f t="shared" si="3"/>
        <v>387</v>
      </c>
      <c r="U19" s="320">
        <f t="shared" si="3"/>
        <v>347</v>
      </c>
      <c r="V19" s="320">
        <f t="shared" si="3"/>
        <v>293</v>
      </c>
      <c r="W19" s="320">
        <f t="shared" si="3"/>
        <v>368</v>
      </c>
      <c r="X19" s="320">
        <f t="shared" si="3"/>
        <v>396</v>
      </c>
      <c r="Y19" s="320">
        <v>1320</v>
      </c>
      <c r="Z19" s="320">
        <v>684</v>
      </c>
      <c r="AA19" s="320">
        <v>1652</v>
      </c>
      <c r="AB19" s="9"/>
      <c r="AC19" s="9"/>
      <c r="AD19" s="9"/>
      <c r="AE19" s="9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94"/>
      <c r="AT19" s="204"/>
      <c r="AU19" s="77"/>
      <c r="AV19" s="89">
        <f>+AV20</f>
        <v>6600</v>
      </c>
      <c r="AW19" s="90">
        <f>+AW20</f>
        <v>1208500908</v>
      </c>
      <c r="AX19" s="89">
        <f t="shared" ref="AX19:BC19" si="4">+AX20</f>
        <v>6650</v>
      </c>
      <c r="AY19" s="90">
        <f t="shared" si="4"/>
        <v>1268925957</v>
      </c>
      <c r="AZ19" s="89">
        <f t="shared" si="4"/>
        <v>6700</v>
      </c>
      <c r="BA19" s="90">
        <f t="shared" si="4"/>
        <v>1332372254</v>
      </c>
      <c r="BB19" s="89">
        <f t="shared" si="4"/>
        <v>6750</v>
      </c>
      <c r="BC19" s="90">
        <f t="shared" si="4"/>
        <v>1398990870</v>
      </c>
    </row>
    <row r="20" spans="1:55" ht="27" x14ac:dyDescent="0.25">
      <c r="A20" s="59"/>
      <c r="B20" s="6"/>
      <c r="C20" s="6"/>
      <c r="D20" s="6"/>
      <c r="E20" s="6"/>
      <c r="F20" s="6"/>
      <c r="G20" s="6">
        <v>2</v>
      </c>
      <c r="H20" s="343" t="s">
        <v>76</v>
      </c>
      <c r="I20" s="347" t="s">
        <v>63</v>
      </c>
      <c r="J20" s="345">
        <v>6585</v>
      </c>
      <c r="K20" s="345">
        <v>6585</v>
      </c>
      <c r="L20" s="345">
        <v>6585</v>
      </c>
      <c r="M20" s="345">
        <v>5974</v>
      </c>
      <c r="N20" s="345">
        <f>3638+Z20+AA20</f>
        <v>5974</v>
      </c>
      <c r="O20" s="341">
        <f>+AA20</f>
        <v>1652</v>
      </c>
      <c r="P20" s="319">
        <v>0</v>
      </c>
      <c r="Q20" s="319">
        <v>0</v>
      </c>
      <c r="R20" s="319">
        <v>395</v>
      </c>
      <c r="S20" s="319">
        <v>202</v>
      </c>
      <c r="T20" s="319">
        <v>387</v>
      </c>
      <c r="U20" s="319">
        <v>347</v>
      </c>
      <c r="V20" s="319">
        <v>293</v>
      </c>
      <c r="W20" s="319">
        <v>368</v>
      </c>
      <c r="X20" s="319">
        <v>396</v>
      </c>
      <c r="Y20" s="319">
        <v>1320</v>
      </c>
      <c r="Z20" s="319">
        <v>684</v>
      </c>
      <c r="AA20" s="319">
        <v>1652</v>
      </c>
      <c r="AB20" s="11"/>
      <c r="AC20" s="11"/>
      <c r="AD20" s="11"/>
      <c r="AE20" s="11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94"/>
      <c r="AT20" s="206"/>
      <c r="AU20" s="50"/>
      <c r="AV20" s="209">
        <v>6600</v>
      </c>
      <c r="AW20" s="210">
        <v>1208500908</v>
      </c>
      <c r="AX20" s="209">
        <v>6650</v>
      </c>
      <c r="AY20" s="210">
        <v>1268925957</v>
      </c>
      <c r="AZ20" s="209">
        <v>6700</v>
      </c>
      <c r="BA20" s="210">
        <v>1332372254</v>
      </c>
      <c r="BB20" s="209">
        <v>6750</v>
      </c>
      <c r="BC20" s="210">
        <v>1398990870</v>
      </c>
    </row>
    <row r="21" spans="1:55" ht="30" x14ac:dyDescent="0.25">
      <c r="A21" s="59"/>
      <c r="B21" s="6"/>
      <c r="C21" s="5">
        <v>2</v>
      </c>
      <c r="D21" s="5"/>
      <c r="E21" s="5"/>
      <c r="F21" s="5"/>
      <c r="G21" s="6"/>
      <c r="H21" s="342" t="s">
        <v>77</v>
      </c>
      <c r="I21" s="348"/>
      <c r="J21" s="345"/>
      <c r="K21" s="345"/>
      <c r="L21" s="345"/>
      <c r="M21" s="345"/>
      <c r="N21" s="345"/>
      <c r="O21" s="345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94"/>
      <c r="AT21" s="206"/>
      <c r="AU21" s="50"/>
      <c r="AV21" s="207"/>
      <c r="AW21" s="88"/>
      <c r="AX21" s="49"/>
      <c r="AY21" s="88"/>
      <c r="AZ21" s="49"/>
      <c r="BA21" s="76"/>
      <c r="BB21" s="49"/>
      <c r="BC21" s="76"/>
    </row>
    <row r="22" spans="1:55" x14ac:dyDescent="0.25">
      <c r="A22" s="59"/>
      <c r="B22" s="6"/>
      <c r="C22" s="5"/>
      <c r="D22" s="5">
        <v>0</v>
      </c>
      <c r="E22" s="5"/>
      <c r="F22" s="5"/>
      <c r="G22" s="6"/>
      <c r="H22" s="342" t="s">
        <v>31</v>
      </c>
      <c r="I22" s="348"/>
      <c r="J22" s="345"/>
      <c r="K22" s="345"/>
      <c r="L22" s="345"/>
      <c r="M22" s="345"/>
      <c r="N22" s="345"/>
      <c r="O22" s="345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94"/>
      <c r="AT22" s="206"/>
      <c r="AU22" s="50"/>
      <c r="AV22" s="207"/>
      <c r="AW22" s="88"/>
      <c r="AX22" s="49"/>
      <c r="AY22" s="88"/>
      <c r="AZ22" s="49"/>
      <c r="BA22" s="76"/>
      <c r="BB22" s="49"/>
      <c r="BC22" s="76"/>
    </row>
    <row r="23" spans="1:55" ht="30" x14ac:dyDescent="0.3">
      <c r="A23" s="59"/>
      <c r="B23" s="6"/>
      <c r="C23" s="5"/>
      <c r="D23" s="5"/>
      <c r="E23" s="5">
        <v>1</v>
      </c>
      <c r="F23" s="5"/>
      <c r="G23" s="6"/>
      <c r="H23" s="342" t="s">
        <v>78</v>
      </c>
      <c r="I23" s="348"/>
      <c r="J23" s="345"/>
      <c r="K23" s="345"/>
      <c r="L23" s="345"/>
      <c r="M23" s="345"/>
      <c r="N23" s="345"/>
      <c r="O23" s="345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203">
        <v>5000000</v>
      </c>
      <c r="AC23" s="203">
        <v>5000000</v>
      </c>
      <c r="AD23" s="203">
        <v>5000000</v>
      </c>
      <c r="AE23" s="203">
        <v>0</v>
      </c>
      <c r="AF23" s="203">
        <f>+SUM(AH23:AS23)</f>
        <v>0</v>
      </c>
      <c r="AG23" s="94">
        <f>+AS23</f>
        <v>0</v>
      </c>
      <c r="AH23" s="203">
        <v>0</v>
      </c>
      <c r="AI23" s="203">
        <v>0</v>
      </c>
      <c r="AJ23" s="203">
        <v>0</v>
      </c>
      <c r="AK23" s="203">
        <v>0</v>
      </c>
      <c r="AL23" s="203">
        <v>0</v>
      </c>
      <c r="AM23" s="203">
        <v>0</v>
      </c>
      <c r="AN23" s="203">
        <v>0</v>
      </c>
      <c r="AO23" s="203">
        <v>0</v>
      </c>
      <c r="AP23" s="203">
        <v>0</v>
      </c>
      <c r="AQ23" s="203">
        <v>0</v>
      </c>
      <c r="AR23" s="203">
        <v>0</v>
      </c>
      <c r="AS23" s="294">
        <v>0</v>
      </c>
      <c r="AT23" s="204" t="e">
        <f>AG23/AE23</f>
        <v>#DIV/0!</v>
      </c>
      <c r="AU23" s="50"/>
      <c r="AV23" s="205"/>
      <c r="AW23" s="81"/>
      <c r="AX23" s="52"/>
      <c r="AY23" s="81"/>
      <c r="AZ23" s="52"/>
      <c r="BA23" s="82"/>
      <c r="BB23" s="52"/>
      <c r="BC23" s="82"/>
    </row>
    <row r="24" spans="1:55" ht="30" x14ac:dyDescent="0.3">
      <c r="A24" s="4">
        <v>4</v>
      </c>
      <c r="B24" s="5"/>
      <c r="C24" s="5"/>
      <c r="D24" s="5"/>
      <c r="E24" s="5"/>
      <c r="F24" s="5"/>
      <c r="G24" s="5">
        <v>1</v>
      </c>
      <c r="H24" s="342" t="s">
        <v>79</v>
      </c>
      <c r="I24" s="346" t="s">
        <v>64</v>
      </c>
      <c r="J24" s="341">
        <f>J25</f>
        <v>10</v>
      </c>
      <c r="K24" s="341">
        <f>K25</f>
        <v>10</v>
      </c>
      <c r="L24" s="341">
        <f>L25</f>
        <v>10</v>
      </c>
      <c r="M24" s="341">
        <f>M25</f>
        <v>10</v>
      </c>
      <c r="N24" s="341">
        <f>N25</f>
        <v>10</v>
      </c>
      <c r="O24" s="341">
        <f>+AA24</f>
        <v>10</v>
      </c>
      <c r="P24" s="320">
        <f t="shared" ref="P24:Z24" si="5">+P25</f>
        <v>0</v>
      </c>
      <c r="Q24" s="320">
        <f t="shared" si="5"/>
        <v>0</v>
      </c>
      <c r="R24" s="320">
        <f t="shared" si="5"/>
        <v>0</v>
      </c>
      <c r="S24" s="320">
        <f t="shared" si="5"/>
        <v>0</v>
      </c>
      <c r="T24" s="320">
        <f t="shared" si="5"/>
        <v>0</v>
      </c>
      <c r="U24" s="320">
        <f t="shared" si="5"/>
        <v>0</v>
      </c>
      <c r="V24" s="320">
        <f t="shared" si="5"/>
        <v>0</v>
      </c>
      <c r="W24" s="320">
        <f t="shared" si="5"/>
        <v>0</v>
      </c>
      <c r="X24" s="320">
        <f t="shared" si="5"/>
        <v>0</v>
      </c>
      <c r="Y24" s="320">
        <f t="shared" si="5"/>
        <v>0</v>
      </c>
      <c r="Z24" s="320">
        <f t="shared" si="5"/>
        <v>0</v>
      </c>
      <c r="AA24" s="320">
        <v>10</v>
      </c>
      <c r="AB24" s="9"/>
      <c r="AC24" s="9"/>
      <c r="AD24" s="9"/>
      <c r="AE24" s="9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94"/>
      <c r="AT24" s="204"/>
      <c r="AU24" s="77"/>
      <c r="AV24" s="89">
        <f t="shared" ref="AV24:BC24" si="6">+AV25</f>
        <v>10</v>
      </c>
      <c r="AW24" s="90">
        <f t="shared" si="6"/>
        <v>5000000</v>
      </c>
      <c r="AX24" s="89">
        <f t="shared" si="6"/>
        <v>10</v>
      </c>
      <c r="AY24" s="90">
        <f t="shared" si="6"/>
        <v>5000000</v>
      </c>
      <c r="AZ24" s="89">
        <f t="shared" si="6"/>
        <v>10</v>
      </c>
      <c r="BA24" s="90">
        <f t="shared" si="6"/>
        <v>5000000</v>
      </c>
      <c r="BB24" s="89">
        <f t="shared" si="6"/>
        <v>10</v>
      </c>
      <c r="BC24" s="90">
        <f t="shared" si="6"/>
        <v>5000000</v>
      </c>
    </row>
    <row r="25" spans="1:55" x14ac:dyDescent="0.25">
      <c r="A25" s="59"/>
      <c r="B25" s="6"/>
      <c r="C25" s="6"/>
      <c r="D25" s="6"/>
      <c r="E25" s="6"/>
      <c r="F25" s="6"/>
      <c r="G25" s="6">
        <v>3</v>
      </c>
      <c r="H25" s="343" t="s">
        <v>80</v>
      </c>
      <c r="I25" s="347" t="s">
        <v>64</v>
      </c>
      <c r="J25" s="345">
        <v>10</v>
      </c>
      <c r="K25" s="345">
        <v>10</v>
      </c>
      <c r="L25" s="345">
        <v>10</v>
      </c>
      <c r="M25" s="345">
        <v>10</v>
      </c>
      <c r="N25" s="345">
        <f>SUM(P25:AA25)</f>
        <v>10</v>
      </c>
      <c r="O25" s="341">
        <f>+AA25</f>
        <v>10</v>
      </c>
      <c r="P25" s="319">
        <v>0</v>
      </c>
      <c r="Q25" s="319">
        <v>0</v>
      </c>
      <c r="R25" s="319">
        <v>0</v>
      </c>
      <c r="S25" s="319">
        <v>0</v>
      </c>
      <c r="T25" s="319">
        <v>0</v>
      </c>
      <c r="U25" s="319">
        <v>0</v>
      </c>
      <c r="V25" s="319">
        <v>0</v>
      </c>
      <c r="W25" s="319">
        <v>0</v>
      </c>
      <c r="X25" s="319">
        <v>0</v>
      </c>
      <c r="Y25" s="319">
        <v>0</v>
      </c>
      <c r="Z25" s="319">
        <v>0</v>
      </c>
      <c r="AA25" s="319">
        <v>10</v>
      </c>
      <c r="AB25" s="9"/>
      <c r="AC25" s="9"/>
      <c r="AD25" s="9"/>
      <c r="AE25" s="9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94"/>
      <c r="AT25" s="206"/>
      <c r="AU25" s="50"/>
      <c r="AV25" s="209">
        <v>10</v>
      </c>
      <c r="AW25" s="210">
        <v>5000000</v>
      </c>
      <c r="AX25" s="209">
        <v>10</v>
      </c>
      <c r="AY25" s="210">
        <v>5000000</v>
      </c>
      <c r="AZ25" s="209">
        <v>10</v>
      </c>
      <c r="BA25" s="210">
        <v>5000000</v>
      </c>
      <c r="BB25" s="209">
        <v>10</v>
      </c>
      <c r="BC25" s="210">
        <v>5000000</v>
      </c>
    </row>
    <row r="26" spans="1:55" ht="30" x14ac:dyDescent="0.3">
      <c r="A26" s="59"/>
      <c r="B26" s="96"/>
      <c r="C26" s="96"/>
      <c r="D26" s="96"/>
      <c r="E26" s="93">
        <v>2</v>
      </c>
      <c r="F26" s="96"/>
      <c r="G26" s="96"/>
      <c r="H26" s="342" t="s">
        <v>81</v>
      </c>
      <c r="I26" s="348"/>
      <c r="J26" s="345"/>
      <c r="K26" s="345"/>
      <c r="L26" s="345"/>
      <c r="M26" s="345"/>
      <c r="N26" s="345"/>
      <c r="O26" s="345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94">
        <v>599046755</v>
      </c>
      <c r="AC26" s="94">
        <v>421530647</v>
      </c>
      <c r="AD26" s="94">
        <v>421530647</v>
      </c>
      <c r="AE26" s="94">
        <v>178615575</v>
      </c>
      <c r="AF26" s="196">
        <f>79853972.73+AG26+AR26</f>
        <v>178533159.08000001</v>
      </c>
      <c r="AG26" s="94">
        <f>+AS26</f>
        <v>96953305.420000002</v>
      </c>
      <c r="AH26" s="94">
        <v>0</v>
      </c>
      <c r="AI26" s="94">
        <v>260846.68</v>
      </c>
      <c r="AJ26" s="94">
        <v>0</v>
      </c>
      <c r="AK26" s="94">
        <v>10618019.779999999</v>
      </c>
      <c r="AL26" s="94">
        <v>12460135.07</v>
      </c>
      <c r="AM26" s="94">
        <v>13407849.279999999</v>
      </c>
      <c r="AN26" s="94">
        <v>4863622.83</v>
      </c>
      <c r="AO26" s="94">
        <v>8349979.4400000004</v>
      </c>
      <c r="AP26" s="94">
        <v>16233375.140000001</v>
      </c>
      <c r="AQ26" s="227">
        <v>6634395.3200000003</v>
      </c>
      <c r="AR26" s="94">
        <v>1725880.93</v>
      </c>
      <c r="AS26" s="293">
        <v>96953305.420000002</v>
      </c>
      <c r="AT26" s="83">
        <f>AG26/AE26</f>
        <v>0.54280431826843767</v>
      </c>
      <c r="AU26" s="50"/>
      <c r="AV26" s="48"/>
      <c r="AW26" s="48"/>
      <c r="AX26" s="48"/>
      <c r="AY26" s="48"/>
      <c r="AZ26" s="48"/>
      <c r="BA26" s="48"/>
      <c r="BB26" s="48"/>
      <c r="BC26" s="48"/>
    </row>
    <row r="27" spans="1:55" ht="30" x14ac:dyDescent="0.3">
      <c r="A27" s="4">
        <v>4</v>
      </c>
      <c r="B27" s="93"/>
      <c r="C27" s="93"/>
      <c r="D27" s="93"/>
      <c r="E27" s="93"/>
      <c r="F27" s="93"/>
      <c r="G27" s="93">
        <v>1</v>
      </c>
      <c r="H27" s="342" t="s">
        <v>82</v>
      </c>
      <c r="I27" s="346" t="s">
        <v>63</v>
      </c>
      <c r="J27" s="341">
        <f>J28</f>
        <v>5206</v>
      </c>
      <c r="K27" s="341">
        <f>K28</f>
        <v>5353</v>
      </c>
      <c r="L27" s="341">
        <f>L28</f>
        <v>5353</v>
      </c>
      <c r="M27" s="341">
        <v>5626</v>
      </c>
      <c r="N27" s="349">
        <f>N28</f>
        <v>5623</v>
      </c>
      <c r="O27" s="341">
        <f>+AA27</f>
        <v>3019</v>
      </c>
      <c r="P27" s="320">
        <f t="shared" ref="P27:X27" si="7">+P28</f>
        <v>0</v>
      </c>
      <c r="Q27" s="320">
        <f t="shared" si="7"/>
        <v>0</v>
      </c>
      <c r="R27" s="320">
        <f t="shared" si="7"/>
        <v>2</v>
      </c>
      <c r="S27" s="320">
        <f t="shared" si="7"/>
        <v>3</v>
      </c>
      <c r="T27" s="320">
        <f t="shared" si="7"/>
        <v>247</v>
      </c>
      <c r="U27" s="320">
        <f t="shared" si="7"/>
        <v>386</v>
      </c>
      <c r="V27" s="325">
        <f t="shared" si="7"/>
        <v>204</v>
      </c>
      <c r="W27" s="320">
        <f t="shared" si="7"/>
        <v>285</v>
      </c>
      <c r="X27" s="320">
        <f t="shared" si="7"/>
        <v>396</v>
      </c>
      <c r="Y27" s="320">
        <v>314</v>
      </c>
      <c r="Z27" s="320">
        <v>767</v>
      </c>
      <c r="AA27" s="320">
        <v>3019</v>
      </c>
      <c r="AB27" s="170"/>
      <c r="AC27" s="170"/>
      <c r="AD27" s="170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293"/>
      <c r="AT27" s="83"/>
      <c r="AU27" s="77"/>
      <c r="AV27" s="89">
        <f t="shared" ref="AV27:BC27" si="8">+AV28</f>
        <v>5250</v>
      </c>
      <c r="AW27" s="90">
        <f t="shared" si="8"/>
        <v>628999095</v>
      </c>
      <c r="AX27" s="89">
        <f t="shared" si="8"/>
        <v>5300</v>
      </c>
      <c r="AY27" s="90">
        <f t="shared" si="8"/>
        <v>660449057</v>
      </c>
      <c r="AZ27" s="89">
        <f t="shared" si="8"/>
        <v>5350</v>
      </c>
      <c r="BA27" s="90">
        <f t="shared" si="8"/>
        <v>693471504</v>
      </c>
      <c r="BB27" s="89">
        <f t="shared" si="8"/>
        <v>5350</v>
      </c>
      <c r="BC27" s="90">
        <f t="shared" si="8"/>
        <v>728145082</v>
      </c>
    </row>
    <row r="28" spans="1:55" ht="27" x14ac:dyDescent="0.25">
      <c r="A28" s="59"/>
      <c r="B28" s="96"/>
      <c r="C28" s="96"/>
      <c r="D28" s="96"/>
      <c r="E28" s="96"/>
      <c r="F28" s="96"/>
      <c r="G28" s="96">
        <v>2</v>
      </c>
      <c r="H28" s="343" t="s">
        <v>82</v>
      </c>
      <c r="I28" s="347" t="s">
        <v>63</v>
      </c>
      <c r="J28" s="345">
        <v>5206</v>
      </c>
      <c r="K28" s="345">
        <v>5353</v>
      </c>
      <c r="L28" s="345">
        <v>5353</v>
      </c>
      <c r="M28" s="345">
        <v>5626</v>
      </c>
      <c r="N28" s="345">
        <f>SUM(P28:AA28)</f>
        <v>5623</v>
      </c>
      <c r="O28" s="341">
        <f>+AA28</f>
        <v>3019</v>
      </c>
      <c r="P28" s="319">
        <v>0</v>
      </c>
      <c r="Q28" s="319">
        <v>0</v>
      </c>
      <c r="R28" s="319">
        <v>2</v>
      </c>
      <c r="S28" s="319">
        <v>3</v>
      </c>
      <c r="T28" s="319">
        <v>247</v>
      </c>
      <c r="U28" s="319">
        <v>386</v>
      </c>
      <c r="V28" s="319">
        <v>204</v>
      </c>
      <c r="W28" s="319">
        <v>285</v>
      </c>
      <c r="X28" s="319">
        <v>396</v>
      </c>
      <c r="Y28" s="319">
        <v>314</v>
      </c>
      <c r="Z28" s="319">
        <v>767</v>
      </c>
      <c r="AA28" s="319">
        <v>3019</v>
      </c>
      <c r="AB28" s="166"/>
      <c r="AC28" s="166"/>
      <c r="AD28" s="166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293"/>
      <c r="AT28" s="86"/>
      <c r="AU28" s="50"/>
      <c r="AV28" s="87">
        <v>5250</v>
      </c>
      <c r="AW28" s="88">
        <v>628999095</v>
      </c>
      <c r="AX28" s="49">
        <v>5300</v>
      </c>
      <c r="AY28" s="88">
        <v>660449057</v>
      </c>
      <c r="AZ28" s="49">
        <v>5350</v>
      </c>
      <c r="BA28" s="76">
        <v>693471504</v>
      </c>
      <c r="BB28" s="49">
        <v>5350</v>
      </c>
      <c r="BC28" s="76">
        <v>728145082</v>
      </c>
    </row>
    <row r="29" spans="1:55" ht="45" x14ac:dyDescent="0.25">
      <c r="A29" s="59"/>
      <c r="B29" s="96"/>
      <c r="C29" s="93">
        <v>3</v>
      </c>
      <c r="D29" s="96"/>
      <c r="E29" s="96"/>
      <c r="F29" s="96"/>
      <c r="G29" s="96"/>
      <c r="H29" s="339" t="s">
        <v>235</v>
      </c>
      <c r="I29" s="347"/>
      <c r="J29" s="345"/>
      <c r="K29" s="345"/>
      <c r="L29" s="345"/>
      <c r="M29" s="345"/>
      <c r="N29" s="345"/>
      <c r="O29" s="345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293"/>
      <c r="AT29" s="86"/>
      <c r="AU29" s="50"/>
      <c r="AV29" s="161"/>
      <c r="AW29" s="162"/>
      <c r="AX29" s="163"/>
      <c r="AY29" s="162"/>
      <c r="AZ29" s="163"/>
      <c r="BA29" s="164"/>
      <c r="BB29" s="163"/>
      <c r="BC29" s="164"/>
    </row>
    <row r="30" spans="1:55" x14ac:dyDescent="0.25">
      <c r="A30" s="59"/>
      <c r="B30" s="96"/>
      <c r="C30" s="96"/>
      <c r="D30" s="93">
        <v>0</v>
      </c>
      <c r="E30" s="93"/>
      <c r="F30" s="93"/>
      <c r="G30" s="93"/>
      <c r="H30" s="339" t="s">
        <v>31</v>
      </c>
      <c r="I30" s="347"/>
      <c r="J30" s="345"/>
      <c r="K30" s="345"/>
      <c r="L30" s="345"/>
      <c r="M30" s="345"/>
      <c r="N30" s="345"/>
      <c r="O30" s="345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293"/>
      <c r="AT30" s="86"/>
      <c r="AU30" s="50"/>
      <c r="AV30" s="161"/>
      <c r="AW30" s="162"/>
      <c r="AX30" s="163"/>
      <c r="AY30" s="162"/>
      <c r="AZ30" s="163"/>
      <c r="BA30" s="164"/>
      <c r="BB30" s="163"/>
      <c r="BC30" s="164"/>
    </row>
    <row r="31" spans="1:55" ht="30" x14ac:dyDescent="0.25">
      <c r="A31" s="59"/>
      <c r="B31" s="96"/>
      <c r="C31" s="96"/>
      <c r="D31" s="96"/>
      <c r="E31" s="93">
        <v>1</v>
      </c>
      <c r="F31" s="93">
        <v>0</v>
      </c>
      <c r="G31" s="93"/>
      <c r="H31" s="339" t="s">
        <v>236</v>
      </c>
      <c r="I31" s="347"/>
      <c r="J31" s="345"/>
      <c r="K31" s="345"/>
      <c r="L31" s="345"/>
      <c r="M31" s="345"/>
      <c r="N31" s="345"/>
      <c r="O31" s="345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>
        <v>0</v>
      </c>
      <c r="AE31" s="94">
        <v>701484399.10000002</v>
      </c>
      <c r="AF31" s="94">
        <f>348072686.63+AG31+AR31</f>
        <v>699888625.38</v>
      </c>
      <c r="AG31" s="94">
        <f>+AS31</f>
        <v>176593931.21000001</v>
      </c>
      <c r="AH31" s="94">
        <v>0</v>
      </c>
      <c r="AI31" s="94">
        <v>0</v>
      </c>
      <c r="AJ31" s="94">
        <v>0</v>
      </c>
      <c r="AK31" s="94">
        <v>0</v>
      </c>
      <c r="AL31" s="94">
        <v>0</v>
      </c>
      <c r="AM31" s="94">
        <v>0</v>
      </c>
      <c r="AN31" s="94">
        <v>0</v>
      </c>
      <c r="AO31" s="94">
        <v>145016067.41</v>
      </c>
      <c r="AP31" s="94">
        <v>198602108.31</v>
      </c>
      <c r="AQ31" s="228">
        <v>4454511.09</v>
      </c>
      <c r="AR31" s="94">
        <v>175222007.53999999</v>
      </c>
      <c r="AS31" s="293">
        <v>176593931.21000001</v>
      </c>
      <c r="AT31" s="86"/>
      <c r="AU31" s="50"/>
      <c r="AV31" s="161"/>
      <c r="AW31" s="162"/>
      <c r="AX31" s="163"/>
      <c r="AY31" s="162"/>
      <c r="AZ31" s="163"/>
      <c r="BA31" s="164"/>
      <c r="BB31" s="163"/>
      <c r="BC31" s="164"/>
    </row>
    <row r="32" spans="1:55" ht="30" x14ac:dyDescent="0.25">
      <c r="A32" s="59"/>
      <c r="B32" s="96"/>
      <c r="C32" s="96"/>
      <c r="D32" s="96"/>
      <c r="E32" s="96"/>
      <c r="F32" s="96"/>
      <c r="G32" s="93">
        <v>1</v>
      </c>
      <c r="H32" s="339" t="s">
        <v>241</v>
      </c>
      <c r="I32" s="346" t="s">
        <v>63</v>
      </c>
      <c r="J32" s="345">
        <v>0</v>
      </c>
      <c r="K32" s="345">
        <v>0</v>
      </c>
      <c r="L32" s="345">
        <v>0</v>
      </c>
      <c r="M32" s="345">
        <f>SUM(M33:M35)</f>
        <v>1529</v>
      </c>
      <c r="N32" s="341">
        <f>731+Z32+AA32</f>
        <v>1529</v>
      </c>
      <c r="O32" s="341">
        <f>+AA32</f>
        <v>459</v>
      </c>
      <c r="P32" s="166">
        <v>0</v>
      </c>
      <c r="Q32" s="166">
        <v>0</v>
      </c>
      <c r="R32" s="166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f>+SUM(W33:W35)</f>
        <v>45</v>
      </c>
      <c r="X32" s="166">
        <v>445</v>
      </c>
      <c r="Y32" s="166">
        <v>241</v>
      </c>
      <c r="Z32" s="166">
        <v>339</v>
      </c>
      <c r="AA32" s="166">
        <v>459</v>
      </c>
      <c r="AB32" s="166"/>
      <c r="AC32" s="166"/>
      <c r="AD32" s="166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293"/>
      <c r="AT32" s="86"/>
      <c r="AU32" s="50"/>
      <c r="AV32" s="161"/>
      <c r="AW32" s="162"/>
      <c r="AX32" s="163"/>
      <c r="AY32" s="162"/>
      <c r="AZ32" s="163"/>
      <c r="BA32" s="164"/>
      <c r="BB32" s="163"/>
      <c r="BC32" s="164"/>
    </row>
    <row r="33" spans="1:55" x14ac:dyDescent="0.25">
      <c r="A33" s="59"/>
      <c r="B33" s="96"/>
      <c r="C33" s="96"/>
      <c r="D33" s="96"/>
      <c r="E33" s="96"/>
      <c r="F33" s="96"/>
      <c r="G33" s="96">
        <v>2</v>
      </c>
      <c r="H33" s="350" t="s">
        <v>237</v>
      </c>
      <c r="I33" s="347" t="s">
        <v>63</v>
      </c>
      <c r="J33" s="345">
        <v>0</v>
      </c>
      <c r="K33" s="345">
        <v>0</v>
      </c>
      <c r="L33" s="345">
        <v>0</v>
      </c>
      <c r="M33" s="345">
        <v>94</v>
      </c>
      <c r="N33" s="345">
        <f>SUM(P33:AA33)</f>
        <v>94</v>
      </c>
      <c r="O33" s="341">
        <f>+AA33</f>
        <v>56</v>
      </c>
      <c r="P33" s="166">
        <v>0</v>
      </c>
      <c r="Q33" s="166">
        <v>0</v>
      </c>
      <c r="R33" s="166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8</v>
      </c>
      <c r="X33" s="166">
        <v>8</v>
      </c>
      <c r="Y33" s="166">
        <v>22</v>
      </c>
      <c r="Z33" s="166">
        <v>0</v>
      </c>
      <c r="AA33" s="166">
        <v>56</v>
      </c>
      <c r="AB33" s="166"/>
      <c r="AC33" s="166"/>
      <c r="AD33" s="166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>
        <v>28049268.620000001</v>
      </c>
      <c r="AP33" s="94"/>
      <c r="AQ33" s="94"/>
      <c r="AR33" s="94"/>
      <c r="AS33" s="293"/>
      <c r="AT33" s="86"/>
      <c r="AU33" s="50"/>
      <c r="AV33" s="161"/>
      <c r="AW33" s="162"/>
      <c r="AX33" s="163"/>
      <c r="AY33" s="162"/>
      <c r="AZ33" s="163"/>
      <c r="BA33" s="164"/>
      <c r="BB33" s="163"/>
      <c r="BC33" s="164"/>
    </row>
    <row r="34" spans="1:55" x14ac:dyDescent="0.25">
      <c r="A34" s="59"/>
      <c r="B34" s="96"/>
      <c r="C34" s="96"/>
      <c r="D34" s="96"/>
      <c r="E34" s="96"/>
      <c r="F34" s="96"/>
      <c r="G34" s="96">
        <v>3</v>
      </c>
      <c r="H34" s="350" t="s">
        <v>242</v>
      </c>
      <c r="I34" s="347" t="s">
        <v>63</v>
      </c>
      <c r="J34" s="345">
        <v>0</v>
      </c>
      <c r="K34" s="345">
        <v>0</v>
      </c>
      <c r="L34" s="345">
        <v>0</v>
      </c>
      <c r="M34" s="345">
        <v>228</v>
      </c>
      <c r="N34" s="345">
        <f>SUM(P34:AA34)</f>
        <v>228</v>
      </c>
      <c r="O34" s="341">
        <f>+AA34</f>
        <v>129</v>
      </c>
      <c r="P34" s="166">
        <v>0</v>
      </c>
      <c r="Q34" s="166">
        <v>0</v>
      </c>
      <c r="R34" s="166">
        <v>0</v>
      </c>
      <c r="S34" s="166">
        <v>0</v>
      </c>
      <c r="T34" s="166">
        <v>0</v>
      </c>
      <c r="U34" s="166">
        <v>0</v>
      </c>
      <c r="V34" s="166">
        <v>0</v>
      </c>
      <c r="W34" s="166">
        <v>37</v>
      </c>
      <c r="X34" s="166">
        <v>42</v>
      </c>
      <c r="Y34" s="166">
        <v>20</v>
      </c>
      <c r="Z34" s="166">
        <v>0</v>
      </c>
      <c r="AA34" s="166">
        <v>129</v>
      </c>
      <c r="AB34" s="166"/>
      <c r="AC34" s="166"/>
      <c r="AD34" s="166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>
        <v>89082828.25</v>
      </c>
      <c r="AP34" s="94"/>
      <c r="AQ34" s="94"/>
      <c r="AR34" s="94"/>
      <c r="AS34" s="293"/>
      <c r="AT34" s="86"/>
      <c r="AU34" s="50"/>
      <c r="AV34" s="161"/>
      <c r="AW34" s="162"/>
      <c r="AX34" s="163"/>
      <c r="AY34" s="162"/>
      <c r="AZ34" s="163"/>
      <c r="BA34" s="164"/>
      <c r="BB34" s="163"/>
      <c r="BC34" s="164"/>
    </row>
    <row r="35" spans="1:55" x14ac:dyDescent="0.25">
      <c r="A35" s="59"/>
      <c r="B35" s="96"/>
      <c r="C35" s="96"/>
      <c r="D35" s="96"/>
      <c r="E35" s="96"/>
      <c r="F35" s="96"/>
      <c r="G35" s="96">
        <v>4</v>
      </c>
      <c r="H35" s="350" t="s">
        <v>243</v>
      </c>
      <c r="I35" s="347" t="s">
        <v>63</v>
      </c>
      <c r="J35" s="345">
        <v>0</v>
      </c>
      <c r="K35" s="345">
        <v>0</v>
      </c>
      <c r="L35" s="345">
        <v>0</v>
      </c>
      <c r="M35" s="345">
        <v>1207</v>
      </c>
      <c r="N35" s="345">
        <f>SUM(P35:AA35)</f>
        <v>1207</v>
      </c>
      <c r="O35" s="341">
        <f>+AA35</f>
        <v>321</v>
      </c>
      <c r="P35" s="166">
        <v>0</v>
      </c>
      <c r="Q35" s="166">
        <v>0</v>
      </c>
      <c r="R35" s="166">
        <v>0</v>
      </c>
      <c r="S35" s="166">
        <v>0</v>
      </c>
      <c r="T35" s="166">
        <v>0</v>
      </c>
      <c r="U35" s="166">
        <v>0</v>
      </c>
      <c r="V35" s="166">
        <v>0</v>
      </c>
      <c r="W35" s="166">
        <v>0</v>
      </c>
      <c r="X35" s="166">
        <v>753</v>
      </c>
      <c r="Y35" s="166">
        <v>133</v>
      </c>
      <c r="Z35" s="166">
        <v>0</v>
      </c>
      <c r="AA35" s="166">
        <v>321</v>
      </c>
      <c r="AB35" s="166"/>
      <c r="AC35" s="166"/>
      <c r="AD35" s="166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>
        <v>27883970.539999999</v>
      </c>
      <c r="AP35" s="94"/>
      <c r="AQ35" s="94"/>
      <c r="AR35" s="94"/>
      <c r="AS35" s="293"/>
      <c r="AT35" s="86"/>
      <c r="AU35" s="50"/>
      <c r="AV35" s="161"/>
      <c r="AW35" s="162"/>
      <c r="AX35" s="163"/>
      <c r="AY35" s="162"/>
      <c r="AZ35" s="163"/>
      <c r="BA35" s="164"/>
      <c r="BB35" s="163"/>
      <c r="BC35" s="164"/>
    </row>
    <row r="36" spans="1:55" ht="30" x14ac:dyDescent="0.25">
      <c r="A36" s="59"/>
      <c r="B36" s="96"/>
      <c r="C36" s="96"/>
      <c r="D36" s="96"/>
      <c r="E36" s="93">
        <v>2</v>
      </c>
      <c r="F36" s="93">
        <v>0</v>
      </c>
      <c r="G36" s="93"/>
      <c r="H36" s="339" t="s">
        <v>244</v>
      </c>
      <c r="I36" s="347"/>
      <c r="J36" s="345"/>
      <c r="K36" s="345"/>
      <c r="L36" s="345"/>
      <c r="M36" s="345"/>
      <c r="N36" s="345"/>
      <c r="O36" s="345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>
        <v>0</v>
      </c>
      <c r="AE36" s="94">
        <v>296559583.54000002</v>
      </c>
      <c r="AF36" s="94">
        <f>119475613.1+AG36+AR36</f>
        <v>296464548.02999997</v>
      </c>
      <c r="AG36" s="94">
        <f>+AS36</f>
        <v>60656431.289999999</v>
      </c>
      <c r="AH36" s="94">
        <v>0</v>
      </c>
      <c r="AI36" s="94">
        <v>0</v>
      </c>
      <c r="AJ36" s="94">
        <v>0</v>
      </c>
      <c r="AK36" s="94">
        <v>0</v>
      </c>
      <c r="AL36" s="94">
        <v>0</v>
      </c>
      <c r="AM36" s="94">
        <v>0</v>
      </c>
      <c r="AN36" s="94">
        <v>0</v>
      </c>
      <c r="AO36" s="94">
        <v>0</v>
      </c>
      <c r="AP36" s="94">
        <v>63400497.310000002</v>
      </c>
      <c r="AQ36" s="56">
        <v>1185197.1100000001</v>
      </c>
      <c r="AR36" s="94">
        <v>116332503.64</v>
      </c>
      <c r="AS36" s="293">
        <v>60656431.289999999</v>
      </c>
      <c r="AT36" s="86"/>
      <c r="AU36" s="50"/>
      <c r="AV36" s="161"/>
      <c r="AW36" s="162"/>
      <c r="AX36" s="163"/>
      <c r="AY36" s="162"/>
      <c r="AZ36" s="163"/>
      <c r="BA36" s="164"/>
      <c r="BB36" s="163"/>
      <c r="BC36" s="164"/>
    </row>
    <row r="37" spans="1:55" ht="30" x14ac:dyDescent="0.25">
      <c r="A37" s="59"/>
      <c r="B37" s="96"/>
      <c r="C37" s="96"/>
      <c r="D37" s="96"/>
      <c r="E37" s="96"/>
      <c r="F37" s="96"/>
      <c r="G37" s="93">
        <v>1</v>
      </c>
      <c r="H37" s="339" t="s">
        <v>245</v>
      </c>
      <c r="I37" s="346" t="s">
        <v>63</v>
      </c>
      <c r="J37" s="345">
        <v>0</v>
      </c>
      <c r="K37" s="345">
        <v>0</v>
      </c>
      <c r="L37" s="345">
        <v>0</v>
      </c>
      <c r="M37" s="345">
        <f>SUM(M38:M39)</f>
        <v>218</v>
      </c>
      <c r="N37" s="345">
        <f>154+Z37+AA37</f>
        <v>218</v>
      </c>
      <c r="O37" s="341">
        <f>+AA37</f>
        <v>34</v>
      </c>
      <c r="P37" s="166">
        <v>0</v>
      </c>
      <c r="Q37" s="166">
        <v>0</v>
      </c>
      <c r="R37" s="166">
        <v>0</v>
      </c>
      <c r="S37" s="166">
        <v>0</v>
      </c>
      <c r="T37" s="166">
        <v>0</v>
      </c>
      <c r="U37" s="166">
        <v>0</v>
      </c>
      <c r="V37" s="166">
        <v>0</v>
      </c>
      <c r="W37" s="166">
        <v>0</v>
      </c>
      <c r="X37" s="166">
        <v>121</v>
      </c>
      <c r="Y37" s="166">
        <v>6</v>
      </c>
      <c r="Z37" s="166">
        <v>30</v>
      </c>
      <c r="AA37" s="166">
        <v>34</v>
      </c>
      <c r="AB37" s="166"/>
      <c r="AC37" s="166"/>
      <c r="AD37" s="166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293"/>
      <c r="AT37" s="86"/>
      <c r="AU37" s="50"/>
      <c r="AV37" s="161"/>
      <c r="AW37" s="162"/>
      <c r="AX37" s="163"/>
      <c r="AY37" s="162"/>
      <c r="AZ37" s="163"/>
      <c r="BA37" s="164"/>
      <c r="BB37" s="163"/>
      <c r="BC37" s="164"/>
    </row>
    <row r="38" spans="1:55" x14ac:dyDescent="0.25">
      <c r="A38" s="59"/>
      <c r="B38" s="96"/>
      <c r="C38" s="96"/>
      <c r="D38" s="96"/>
      <c r="E38" s="96"/>
      <c r="F38" s="96"/>
      <c r="G38" s="96">
        <v>2</v>
      </c>
      <c r="H38" s="350" t="s">
        <v>242</v>
      </c>
      <c r="I38" s="347" t="s">
        <v>63</v>
      </c>
      <c r="J38" s="345">
        <v>0</v>
      </c>
      <c r="K38" s="345">
        <v>0</v>
      </c>
      <c r="L38" s="345">
        <v>0</v>
      </c>
      <c r="M38" s="345">
        <v>99</v>
      </c>
      <c r="N38" s="345">
        <f>SUM(P38:AA38)</f>
        <v>99</v>
      </c>
      <c r="O38" s="341">
        <f>+AA38</f>
        <v>57</v>
      </c>
      <c r="P38" s="166">
        <v>0</v>
      </c>
      <c r="Q38" s="166">
        <v>0</v>
      </c>
      <c r="R38" s="166">
        <v>0</v>
      </c>
      <c r="S38" s="166">
        <v>0</v>
      </c>
      <c r="T38" s="166">
        <v>0</v>
      </c>
      <c r="U38" s="166">
        <v>0</v>
      </c>
      <c r="V38" s="166">
        <v>0</v>
      </c>
      <c r="W38" s="166">
        <v>11</v>
      </c>
      <c r="X38" s="166">
        <v>26</v>
      </c>
      <c r="Y38" s="166">
        <v>5</v>
      </c>
      <c r="Z38" s="166">
        <v>0</v>
      </c>
      <c r="AA38" s="166">
        <v>57</v>
      </c>
      <c r="AB38" s="166"/>
      <c r="AC38" s="166"/>
      <c r="AD38" s="166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293"/>
      <c r="AT38" s="86"/>
      <c r="AU38" s="50"/>
      <c r="AV38" s="161"/>
      <c r="AW38" s="162"/>
      <c r="AX38" s="163"/>
      <c r="AY38" s="162"/>
      <c r="AZ38" s="163"/>
      <c r="BA38" s="164"/>
      <c r="BB38" s="163"/>
      <c r="BC38" s="164"/>
    </row>
    <row r="39" spans="1:55" x14ac:dyDescent="0.25">
      <c r="A39" s="59"/>
      <c r="B39" s="96"/>
      <c r="C39" s="96"/>
      <c r="D39" s="96"/>
      <c r="E39" s="96"/>
      <c r="F39" s="96"/>
      <c r="G39" s="96">
        <v>3</v>
      </c>
      <c r="H39" s="350" t="s">
        <v>243</v>
      </c>
      <c r="I39" s="347" t="s">
        <v>63</v>
      </c>
      <c r="J39" s="345">
        <v>0</v>
      </c>
      <c r="K39" s="345">
        <v>0</v>
      </c>
      <c r="L39" s="345">
        <v>0</v>
      </c>
      <c r="M39" s="345">
        <v>119</v>
      </c>
      <c r="N39" s="345">
        <f>115+AA39</f>
        <v>119</v>
      </c>
      <c r="O39" s="341">
        <f>+AA39</f>
        <v>4</v>
      </c>
      <c r="P39" s="166">
        <v>0</v>
      </c>
      <c r="Q39" s="166">
        <v>0</v>
      </c>
      <c r="R39" s="166">
        <v>0</v>
      </c>
      <c r="S39" s="166">
        <v>0</v>
      </c>
      <c r="T39" s="166">
        <v>0</v>
      </c>
      <c r="U39" s="166">
        <v>0</v>
      </c>
      <c r="V39" s="166">
        <v>0</v>
      </c>
      <c r="W39" s="166">
        <v>25.21</v>
      </c>
      <c r="X39" s="166">
        <v>78</v>
      </c>
      <c r="Y39" s="166">
        <v>7</v>
      </c>
      <c r="Z39" s="166">
        <v>0</v>
      </c>
      <c r="AA39" s="166">
        <v>4</v>
      </c>
      <c r="AB39" s="166"/>
      <c r="AC39" s="166"/>
      <c r="AD39" s="166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293"/>
      <c r="AT39" s="86"/>
      <c r="AU39" s="50"/>
      <c r="AV39" s="161"/>
      <c r="AW39" s="162"/>
      <c r="AX39" s="163"/>
      <c r="AY39" s="162"/>
      <c r="AZ39" s="163"/>
      <c r="BA39" s="164"/>
      <c r="BB39" s="163"/>
      <c r="BC39" s="164"/>
    </row>
    <row r="40" spans="1:55" ht="30" x14ac:dyDescent="0.25">
      <c r="A40" s="59"/>
      <c r="B40" s="96"/>
      <c r="C40" s="96"/>
      <c r="D40" s="96"/>
      <c r="E40" s="93">
        <v>3</v>
      </c>
      <c r="F40" s="93">
        <v>0</v>
      </c>
      <c r="G40" s="93"/>
      <c r="H40" s="339" t="s">
        <v>246</v>
      </c>
      <c r="I40" s="347"/>
      <c r="J40" s="345"/>
      <c r="K40" s="345"/>
      <c r="L40" s="345"/>
      <c r="M40" s="345"/>
      <c r="N40" s="345"/>
      <c r="O40" s="345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>
        <v>0</v>
      </c>
      <c r="AE40" s="94">
        <v>360116818.45999998</v>
      </c>
      <c r="AF40" s="94">
        <f>177082114.78+AG40+AR40</f>
        <v>358997633.32999998</v>
      </c>
      <c r="AG40" s="94">
        <f>+AS40</f>
        <v>79447375.310000002</v>
      </c>
      <c r="AH40" s="94">
        <v>0</v>
      </c>
      <c r="AI40" s="94">
        <v>0</v>
      </c>
      <c r="AJ40" s="94">
        <v>0</v>
      </c>
      <c r="AK40" s="94">
        <v>0</v>
      </c>
      <c r="AL40" s="94">
        <v>0</v>
      </c>
      <c r="AM40" s="94">
        <v>0</v>
      </c>
      <c r="AN40" s="94">
        <v>0</v>
      </c>
      <c r="AO40" s="94">
        <v>0</v>
      </c>
      <c r="AP40" s="94">
        <v>75880624.109999999</v>
      </c>
      <c r="AQ40" s="56">
        <v>1107477.74</v>
      </c>
      <c r="AR40" s="94">
        <v>102468143.23999999</v>
      </c>
      <c r="AS40" s="293">
        <v>79447375.310000002</v>
      </c>
      <c r="AT40" s="86"/>
      <c r="AU40" s="50"/>
      <c r="AV40" s="161"/>
      <c r="AW40" s="162"/>
      <c r="AX40" s="163"/>
      <c r="AY40" s="162"/>
      <c r="AZ40" s="163"/>
      <c r="BA40" s="164"/>
      <c r="BB40" s="163"/>
      <c r="BC40" s="164"/>
    </row>
    <row r="41" spans="1:55" ht="30" x14ac:dyDescent="0.25">
      <c r="A41" s="59"/>
      <c r="B41" s="96"/>
      <c r="C41" s="96"/>
      <c r="D41" s="96"/>
      <c r="E41" s="93"/>
      <c r="F41" s="93"/>
      <c r="G41" s="93">
        <v>1</v>
      </c>
      <c r="H41" s="339" t="s">
        <v>247</v>
      </c>
      <c r="I41" s="346" t="s">
        <v>63</v>
      </c>
      <c r="J41" s="345">
        <v>0</v>
      </c>
      <c r="K41" s="345">
        <v>0</v>
      </c>
      <c r="L41" s="345">
        <v>0</v>
      </c>
      <c r="M41" s="345">
        <f>SUM(M42:M43)</f>
        <v>467</v>
      </c>
      <c r="N41" s="345">
        <f>277+Z41+AA41</f>
        <v>467</v>
      </c>
      <c r="O41" s="341">
        <f>+AA41</f>
        <v>42</v>
      </c>
      <c r="P41" s="166">
        <v>0</v>
      </c>
      <c r="Q41" s="166">
        <v>0</v>
      </c>
      <c r="R41" s="166">
        <v>0</v>
      </c>
      <c r="S41" s="166">
        <v>0</v>
      </c>
      <c r="T41" s="166">
        <v>0</v>
      </c>
      <c r="U41" s="166">
        <v>0</v>
      </c>
      <c r="V41" s="166">
        <v>0</v>
      </c>
      <c r="W41" s="166">
        <v>0</v>
      </c>
      <c r="X41" s="166">
        <v>195</v>
      </c>
      <c r="Y41" s="166">
        <v>44</v>
      </c>
      <c r="Z41" s="166">
        <v>148</v>
      </c>
      <c r="AA41" s="166">
        <v>42</v>
      </c>
      <c r="AB41" s="166"/>
      <c r="AC41" s="166"/>
      <c r="AD41" s="166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293"/>
      <c r="AT41" s="86"/>
      <c r="AU41" s="50"/>
      <c r="AV41" s="161"/>
      <c r="AW41" s="162"/>
      <c r="AX41" s="163"/>
      <c r="AY41" s="162"/>
      <c r="AZ41" s="163"/>
      <c r="BA41" s="164"/>
      <c r="BB41" s="163"/>
      <c r="BC41" s="164"/>
    </row>
    <row r="42" spans="1:55" x14ac:dyDescent="0.25">
      <c r="A42" s="59"/>
      <c r="B42" s="96"/>
      <c r="C42" s="96"/>
      <c r="D42" s="96"/>
      <c r="E42" s="93"/>
      <c r="F42" s="93"/>
      <c r="G42" s="96">
        <v>2</v>
      </c>
      <c r="H42" s="350" t="s">
        <v>242</v>
      </c>
      <c r="I42" s="347" t="s">
        <v>63</v>
      </c>
      <c r="J42" s="345">
        <v>0</v>
      </c>
      <c r="K42" s="345">
        <v>0</v>
      </c>
      <c r="L42" s="345">
        <v>0</v>
      </c>
      <c r="M42" s="345">
        <v>180</v>
      </c>
      <c r="N42" s="345">
        <f>88+AA42</f>
        <v>180</v>
      </c>
      <c r="O42" s="341">
        <f>+AA42</f>
        <v>92</v>
      </c>
      <c r="P42" s="166">
        <v>0</v>
      </c>
      <c r="Q42" s="166">
        <v>0</v>
      </c>
      <c r="R42" s="166">
        <v>0</v>
      </c>
      <c r="S42" s="166">
        <v>0</v>
      </c>
      <c r="T42" s="166">
        <v>0</v>
      </c>
      <c r="U42" s="166">
        <v>0</v>
      </c>
      <c r="V42" s="166">
        <v>0</v>
      </c>
      <c r="W42" s="166">
        <v>0</v>
      </c>
      <c r="X42" s="166">
        <v>40</v>
      </c>
      <c r="Y42" s="166">
        <v>10</v>
      </c>
      <c r="Z42" s="166">
        <v>0</v>
      </c>
      <c r="AA42" s="166">
        <v>92</v>
      </c>
      <c r="AB42" s="166"/>
      <c r="AC42" s="166"/>
      <c r="AD42" s="166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293"/>
      <c r="AT42" s="86"/>
      <c r="AU42" s="50"/>
      <c r="AV42" s="161"/>
      <c r="AW42" s="162"/>
      <c r="AX42" s="163"/>
      <c r="AY42" s="162"/>
      <c r="AZ42" s="163"/>
      <c r="BA42" s="164"/>
      <c r="BB42" s="163"/>
      <c r="BC42" s="164"/>
    </row>
    <row r="43" spans="1:55" x14ac:dyDescent="0.25">
      <c r="A43" s="59"/>
      <c r="B43" s="96"/>
      <c r="C43" s="96"/>
      <c r="D43" s="96"/>
      <c r="E43" s="93"/>
      <c r="F43" s="93"/>
      <c r="G43" s="96">
        <v>3</v>
      </c>
      <c r="H43" s="350" t="s">
        <v>243</v>
      </c>
      <c r="I43" s="347" t="s">
        <v>63</v>
      </c>
      <c r="J43" s="345">
        <v>0</v>
      </c>
      <c r="K43" s="345">
        <v>0</v>
      </c>
      <c r="L43" s="345">
        <v>0</v>
      </c>
      <c r="M43" s="345">
        <v>287</v>
      </c>
      <c r="N43" s="345">
        <f>185+AA43</f>
        <v>287</v>
      </c>
      <c r="O43" s="341">
        <f>+AA43</f>
        <v>102</v>
      </c>
      <c r="P43" s="166">
        <v>0</v>
      </c>
      <c r="Q43" s="166">
        <v>0</v>
      </c>
      <c r="R43" s="166">
        <v>0</v>
      </c>
      <c r="S43" s="166">
        <v>0</v>
      </c>
      <c r="T43" s="166">
        <v>0</v>
      </c>
      <c r="U43" s="166">
        <v>0</v>
      </c>
      <c r="V43" s="166">
        <v>0</v>
      </c>
      <c r="W43" s="166">
        <v>0</v>
      </c>
      <c r="X43" s="166">
        <v>155</v>
      </c>
      <c r="Y43" s="166">
        <v>30</v>
      </c>
      <c r="Z43" s="166">
        <v>0</v>
      </c>
      <c r="AA43" s="166">
        <v>102</v>
      </c>
      <c r="AB43" s="166"/>
      <c r="AC43" s="166"/>
      <c r="AD43" s="166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293"/>
      <c r="AT43" s="86"/>
      <c r="AU43" s="50"/>
      <c r="AV43" s="161"/>
      <c r="AW43" s="162"/>
      <c r="AX43" s="163"/>
      <c r="AY43" s="162"/>
      <c r="AZ43" s="163"/>
      <c r="BA43" s="164"/>
      <c r="BB43" s="163"/>
      <c r="BC43" s="164"/>
    </row>
    <row r="44" spans="1:55" ht="30" x14ac:dyDescent="0.25">
      <c r="A44" s="59"/>
      <c r="B44" s="96"/>
      <c r="C44" s="96"/>
      <c r="D44" s="96"/>
      <c r="E44" s="93">
        <v>4</v>
      </c>
      <c r="F44" s="93">
        <v>0</v>
      </c>
      <c r="G44" s="93"/>
      <c r="H44" s="339" t="s">
        <v>238</v>
      </c>
      <c r="I44" s="347"/>
      <c r="J44" s="345"/>
      <c r="K44" s="345"/>
      <c r="L44" s="345"/>
      <c r="M44" s="345"/>
      <c r="N44" s="345"/>
      <c r="O44" s="345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>
        <v>0</v>
      </c>
      <c r="AE44" s="94">
        <v>10000000</v>
      </c>
      <c r="AF44" s="94">
        <f>+SUM(AH44:AS44)</f>
        <v>9973919.9499999993</v>
      </c>
      <c r="AG44" s="94">
        <f>+AS44</f>
        <v>3996575.7</v>
      </c>
      <c r="AH44" s="94">
        <v>0</v>
      </c>
      <c r="AI44" s="94">
        <v>0</v>
      </c>
      <c r="AJ44" s="94">
        <v>0</v>
      </c>
      <c r="AK44" s="94">
        <v>0</v>
      </c>
      <c r="AL44" s="94">
        <v>0</v>
      </c>
      <c r="AM44" s="94">
        <v>0</v>
      </c>
      <c r="AN44" s="94">
        <v>0</v>
      </c>
      <c r="AO44" s="94">
        <v>0</v>
      </c>
      <c r="AP44" s="94">
        <v>0</v>
      </c>
      <c r="AQ44" s="94">
        <v>0</v>
      </c>
      <c r="AR44" s="94">
        <v>5977344.25</v>
      </c>
      <c r="AS44" s="293">
        <v>3996575.7</v>
      </c>
      <c r="AT44" s="86"/>
      <c r="AU44" s="50"/>
      <c r="AV44" s="161"/>
      <c r="AW44" s="162"/>
      <c r="AX44" s="163"/>
      <c r="AY44" s="162"/>
      <c r="AZ44" s="163"/>
      <c r="BA44" s="164"/>
      <c r="BB44" s="163"/>
      <c r="BC44" s="164"/>
    </row>
    <row r="45" spans="1:55" ht="30" x14ac:dyDescent="0.25">
      <c r="A45" s="59"/>
      <c r="B45" s="96"/>
      <c r="C45" s="96"/>
      <c r="D45" s="96"/>
      <c r="E45" s="96"/>
      <c r="F45" s="96"/>
      <c r="G45" s="93">
        <v>1</v>
      </c>
      <c r="H45" s="339" t="s">
        <v>239</v>
      </c>
      <c r="I45" s="340" t="s">
        <v>34</v>
      </c>
      <c r="J45" s="345">
        <v>0</v>
      </c>
      <c r="K45" s="345">
        <v>0</v>
      </c>
      <c r="L45" s="345">
        <v>0</v>
      </c>
      <c r="M45" s="345">
        <f>M46</f>
        <v>1</v>
      </c>
      <c r="N45" s="345">
        <f>SUM(P45:AA45)</f>
        <v>1</v>
      </c>
      <c r="O45" s="341">
        <f>+AA45</f>
        <v>0</v>
      </c>
      <c r="P45" s="319">
        <v>0</v>
      </c>
      <c r="Q45" s="319">
        <v>0</v>
      </c>
      <c r="R45" s="319">
        <v>0</v>
      </c>
      <c r="S45" s="319">
        <v>0</v>
      </c>
      <c r="T45" s="319">
        <v>0</v>
      </c>
      <c r="U45" s="319">
        <v>0</v>
      </c>
      <c r="V45" s="319">
        <v>0</v>
      </c>
      <c r="W45" s="319">
        <v>0</v>
      </c>
      <c r="X45" s="319">
        <v>0</v>
      </c>
      <c r="Y45" s="319">
        <v>0</v>
      </c>
      <c r="Z45" s="319">
        <v>1</v>
      </c>
      <c r="AA45" s="319">
        <v>0</v>
      </c>
      <c r="AB45" s="166"/>
      <c r="AC45" s="166"/>
      <c r="AD45" s="166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293"/>
      <c r="AT45" s="86"/>
      <c r="AU45" s="50"/>
      <c r="AV45" s="161"/>
      <c r="AW45" s="162"/>
      <c r="AX45" s="163"/>
      <c r="AY45" s="162"/>
      <c r="AZ45" s="163"/>
      <c r="BA45" s="164"/>
      <c r="BB45" s="163"/>
      <c r="BC45" s="164"/>
    </row>
    <row r="46" spans="1:55" x14ac:dyDescent="0.25">
      <c r="A46" s="59"/>
      <c r="B46" s="96"/>
      <c r="C46" s="96"/>
      <c r="D46" s="96"/>
      <c r="E46" s="96"/>
      <c r="F46" s="96"/>
      <c r="G46" s="96">
        <v>2</v>
      </c>
      <c r="H46" s="350" t="s">
        <v>248</v>
      </c>
      <c r="I46" s="344" t="s">
        <v>34</v>
      </c>
      <c r="J46" s="345">
        <v>0</v>
      </c>
      <c r="K46" s="345">
        <v>0</v>
      </c>
      <c r="L46" s="345">
        <v>0</v>
      </c>
      <c r="M46" s="345">
        <v>1</v>
      </c>
      <c r="N46" s="345">
        <f>SUM(P46:AA46)</f>
        <v>1</v>
      </c>
      <c r="O46" s="341">
        <f>+AA46</f>
        <v>1</v>
      </c>
      <c r="P46" s="319">
        <v>0</v>
      </c>
      <c r="Q46" s="319">
        <v>0</v>
      </c>
      <c r="R46" s="319">
        <v>0</v>
      </c>
      <c r="S46" s="319">
        <v>0</v>
      </c>
      <c r="T46" s="319">
        <v>0</v>
      </c>
      <c r="U46" s="319">
        <v>0</v>
      </c>
      <c r="V46" s="319">
        <v>0</v>
      </c>
      <c r="W46" s="319">
        <v>0</v>
      </c>
      <c r="X46" s="319">
        <v>0</v>
      </c>
      <c r="Y46" s="319">
        <v>0</v>
      </c>
      <c r="Z46" s="319">
        <v>0</v>
      </c>
      <c r="AA46" s="319">
        <v>1</v>
      </c>
      <c r="AB46" s="166"/>
      <c r="AC46" s="166"/>
      <c r="AD46" s="166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293"/>
      <c r="AT46" s="86"/>
      <c r="AU46" s="50"/>
      <c r="AV46" s="161"/>
      <c r="AW46" s="162"/>
      <c r="AX46" s="163"/>
      <c r="AY46" s="162"/>
      <c r="AZ46" s="163"/>
      <c r="BA46" s="164"/>
      <c r="BB46" s="163"/>
      <c r="BC46" s="164"/>
    </row>
    <row r="47" spans="1:55" ht="30" x14ac:dyDescent="0.25">
      <c r="A47" s="4"/>
      <c r="B47" s="5">
        <v>94</v>
      </c>
      <c r="C47" s="5"/>
      <c r="D47" s="5"/>
      <c r="E47" s="5"/>
      <c r="F47" s="5"/>
      <c r="G47" s="5"/>
      <c r="H47" s="339" t="s">
        <v>231</v>
      </c>
      <c r="I47" s="340"/>
      <c r="J47" s="351"/>
      <c r="K47" s="351"/>
      <c r="L47" s="351"/>
      <c r="M47" s="351"/>
      <c r="N47" s="345"/>
      <c r="O47" s="351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295"/>
      <c r="AT47" s="91"/>
      <c r="AU47" s="91"/>
      <c r="AV47" s="91"/>
      <c r="AW47" s="91"/>
      <c r="AX47" s="91"/>
      <c r="AY47" s="91"/>
      <c r="AZ47" s="91"/>
      <c r="BA47" s="91"/>
      <c r="BB47" s="91"/>
      <c r="BC47" s="91"/>
    </row>
    <row r="48" spans="1:55" ht="45" x14ac:dyDescent="0.25">
      <c r="A48" s="4"/>
      <c r="B48" s="5"/>
      <c r="C48" s="5">
        <v>11</v>
      </c>
      <c r="D48" s="5"/>
      <c r="E48" s="5"/>
      <c r="F48" s="5"/>
      <c r="G48" s="5"/>
      <c r="H48" s="339" t="s">
        <v>232</v>
      </c>
      <c r="I48" s="340"/>
      <c r="J48" s="351"/>
      <c r="K48" s="351"/>
      <c r="L48" s="351"/>
      <c r="M48" s="351"/>
      <c r="N48" s="351"/>
      <c r="O48" s="351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295"/>
      <c r="AT48" s="91"/>
      <c r="AU48" s="91"/>
      <c r="AV48" s="91"/>
      <c r="AW48" s="91"/>
      <c r="AX48" s="91"/>
      <c r="AY48" s="91"/>
      <c r="AZ48" s="91"/>
      <c r="BA48" s="91"/>
      <c r="BB48" s="91"/>
      <c r="BC48" s="91"/>
    </row>
    <row r="49" spans="1:55" ht="45" x14ac:dyDescent="0.25">
      <c r="A49" s="4"/>
      <c r="B49" s="5"/>
      <c r="C49" s="5"/>
      <c r="D49" s="5"/>
      <c r="E49" s="5">
        <v>1</v>
      </c>
      <c r="F49" s="5">
        <v>0</v>
      </c>
      <c r="G49" s="5"/>
      <c r="H49" s="339" t="s">
        <v>233</v>
      </c>
      <c r="I49" s="340"/>
      <c r="J49" s="351"/>
      <c r="K49" s="351"/>
      <c r="L49" s="351"/>
      <c r="M49" s="351"/>
      <c r="N49" s="351"/>
      <c r="O49" s="351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295"/>
      <c r="AT49" s="91"/>
      <c r="AU49" s="91"/>
      <c r="AV49" s="91"/>
      <c r="AW49" s="91"/>
      <c r="AX49" s="91"/>
      <c r="AY49" s="91"/>
      <c r="AZ49" s="91"/>
      <c r="BA49" s="91"/>
      <c r="BB49" s="91"/>
      <c r="BC49" s="91"/>
    </row>
    <row r="50" spans="1:55" ht="30" x14ac:dyDescent="0.25">
      <c r="A50" s="4"/>
      <c r="B50" s="5"/>
      <c r="C50" s="5"/>
      <c r="D50" s="5"/>
      <c r="E50" s="5"/>
      <c r="F50" s="5"/>
      <c r="G50" s="5">
        <v>1</v>
      </c>
      <c r="H50" s="339" t="s">
        <v>234</v>
      </c>
      <c r="I50" s="340" t="s">
        <v>64</v>
      </c>
      <c r="J50" s="351">
        <f>J51</f>
        <v>0</v>
      </c>
      <c r="K50" s="351">
        <f>K51</f>
        <v>0</v>
      </c>
      <c r="L50" s="351">
        <f>L51</f>
        <v>0</v>
      </c>
      <c r="M50" s="351">
        <f>M51</f>
        <v>134</v>
      </c>
      <c r="N50" s="352">
        <f>122+AA50</f>
        <v>134</v>
      </c>
      <c r="O50" s="341">
        <f>+AA50</f>
        <v>12</v>
      </c>
      <c r="P50" s="126">
        <f>P51</f>
        <v>0</v>
      </c>
      <c r="Q50" s="126">
        <f>Q51</f>
        <v>0</v>
      </c>
      <c r="R50" s="126">
        <f t="shared" ref="R50:Z50" si="9">R51</f>
        <v>39</v>
      </c>
      <c r="S50" s="126">
        <f t="shared" si="9"/>
        <v>34</v>
      </c>
      <c r="T50" s="126">
        <f t="shared" si="9"/>
        <v>10</v>
      </c>
      <c r="U50" s="126">
        <f t="shared" si="9"/>
        <v>4</v>
      </c>
      <c r="V50" s="126">
        <f t="shared" si="9"/>
        <v>0</v>
      </c>
      <c r="W50" s="57">
        <f t="shared" si="9"/>
        <v>0</v>
      </c>
      <c r="X50" s="57">
        <f t="shared" si="9"/>
        <v>0</v>
      </c>
      <c r="Y50" s="57">
        <v>12</v>
      </c>
      <c r="Z50" s="57">
        <f t="shared" si="9"/>
        <v>0</v>
      </c>
      <c r="AA50" s="57">
        <v>12</v>
      </c>
      <c r="AB50" s="58">
        <v>0</v>
      </c>
      <c r="AC50" s="58">
        <v>0</v>
      </c>
      <c r="AD50" s="58">
        <v>0</v>
      </c>
      <c r="AE50" s="58">
        <v>491169275</v>
      </c>
      <c r="AF50" s="58">
        <f>422942606.57+AG50+AR50</f>
        <v>487807186.99000001</v>
      </c>
      <c r="AG50" s="94">
        <f>+AS50</f>
        <v>53994003.439999998</v>
      </c>
      <c r="AH50" s="57">
        <v>0</v>
      </c>
      <c r="AI50" s="57">
        <v>77250200.530000001</v>
      </c>
      <c r="AJ50" s="57">
        <v>24800848.550000001</v>
      </c>
      <c r="AK50" s="57">
        <v>61516877.100000001</v>
      </c>
      <c r="AL50" s="57">
        <v>52981772.880000003</v>
      </c>
      <c r="AM50" s="57">
        <v>38806164.670000002</v>
      </c>
      <c r="AN50" s="194"/>
      <c r="AO50" s="57"/>
      <c r="AP50" s="57"/>
      <c r="AQ50" s="94">
        <v>12988784.140000001</v>
      </c>
      <c r="AR50" s="57">
        <v>10870576.98</v>
      </c>
      <c r="AS50" s="295">
        <v>53994003.439999998</v>
      </c>
      <c r="AT50" s="91"/>
      <c r="AU50" s="91"/>
      <c r="AV50" s="91"/>
      <c r="AW50" s="91"/>
      <c r="AX50" s="91"/>
      <c r="AY50" s="91"/>
      <c r="AZ50" s="91"/>
      <c r="BA50" s="91"/>
      <c r="BB50" s="91"/>
      <c r="BC50" s="91"/>
    </row>
    <row r="51" spans="1:55" ht="27" x14ac:dyDescent="0.25">
      <c r="A51" s="59"/>
      <c r="B51" s="6"/>
      <c r="C51" s="6"/>
      <c r="D51" s="6"/>
      <c r="E51" s="6"/>
      <c r="F51" s="6"/>
      <c r="G51" s="6">
        <v>2</v>
      </c>
      <c r="H51" s="350" t="s">
        <v>234</v>
      </c>
      <c r="I51" s="344" t="s">
        <v>64</v>
      </c>
      <c r="J51" s="351">
        <v>0</v>
      </c>
      <c r="K51" s="351">
        <v>0</v>
      </c>
      <c r="L51" s="351">
        <v>0</v>
      </c>
      <c r="M51" s="351">
        <v>134</v>
      </c>
      <c r="N51" s="353">
        <f>122+AA51</f>
        <v>134</v>
      </c>
      <c r="O51" s="341">
        <f>+AA51</f>
        <v>12</v>
      </c>
      <c r="P51" s="126">
        <v>0</v>
      </c>
      <c r="Q51" s="126">
        <v>0</v>
      </c>
      <c r="R51" s="126">
        <v>39</v>
      </c>
      <c r="S51" s="126">
        <v>34</v>
      </c>
      <c r="T51" s="126">
        <v>10</v>
      </c>
      <c r="U51" s="126">
        <v>4</v>
      </c>
      <c r="V51" s="126">
        <v>0</v>
      </c>
      <c r="W51" s="57">
        <v>0</v>
      </c>
      <c r="X51" s="57">
        <v>0</v>
      </c>
      <c r="Y51" s="57">
        <v>12</v>
      </c>
      <c r="Z51" s="57">
        <v>0</v>
      </c>
      <c r="AA51" s="57">
        <v>12</v>
      </c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295"/>
      <c r="AT51" s="91"/>
      <c r="AU51" s="91"/>
      <c r="AV51" s="91"/>
      <c r="AW51" s="91"/>
      <c r="AX51" s="91"/>
      <c r="AY51" s="91"/>
      <c r="AZ51" s="91"/>
      <c r="BA51" s="91"/>
      <c r="BB51" s="91"/>
      <c r="BC51" s="91"/>
    </row>
    <row r="52" spans="1:55" ht="45" x14ac:dyDescent="0.25">
      <c r="A52" s="59"/>
      <c r="B52" s="6"/>
      <c r="C52" s="6"/>
      <c r="D52" s="6"/>
      <c r="E52" s="6"/>
      <c r="F52" s="6"/>
      <c r="G52" s="6"/>
      <c r="H52" s="339" t="s">
        <v>252</v>
      </c>
      <c r="I52" s="344"/>
      <c r="J52" s="351"/>
      <c r="K52" s="351"/>
      <c r="L52" s="351"/>
      <c r="M52" s="351"/>
      <c r="N52" s="351"/>
      <c r="O52" s="351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300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</row>
    <row r="53" spans="1:55" ht="75" x14ac:dyDescent="0.25">
      <c r="A53" s="59"/>
      <c r="B53" s="6"/>
      <c r="C53" s="6">
        <v>14</v>
      </c>
      <c r="D53" s="6"/>
      <c r="E53" s="6"/>
      <c r="F53" s="6"/>
      <c r="G53" s="6"/>
      <c r="H53" s="339" t="s">
        <v>253</v>
      </c>
      <c r="I53" s="344"/>
      <c r="J53" s="351"/>
      <c r="K53" s="351"/>
      <c r="L53" s="351">
        <v>0</v>
      </c>
      <c r="M53" s="351">
        <v>45</v>
      </c>
      <c r="N53" s="351">
        <v>45</v>
      </c>
      <c r="O53" s="341">
        <f>+AA53</f>
        <v>1</v>
      </c>
      <c r="P53" s="57"/>
      <c r="Q53" s="57"/>
      <c r="R53" s="57"/>
      <c r="S53" s="57"/>
      <c r="T53" s="57"/>
      <c r="U53" s="57"/>
      <c r="V53" s="57"/>
      <c r="W53" s="57"/>
      <c r="X53" s="57"/>
      <c r="Y53" s="57">
        <v>21</v>
      </c>
      <c r="Z53" s="57"/>
      <c r="AA53" s="57">
        <v>1</v>
      </c>
      <c r="AB53" s="57"/>
      <c r="AC53" s="57"/>
      <c r="AD53" s="57">
        <v>0</v>
      </c>
      <c r="AE53" s="58">
        <v>427854684.49000001</v>
      </c>
      <c r="AF53" s="58">
        <f>313003813.95+AG53+AR53</f>
        <v>426661074.03999996</v>
      </c>
      <c r="AG53" s="94">
        <f>+AS53</f>
        <v>46898550.640000001</v>
      </c>
      <c r="AH53" s="57"/>
      <c r="AI53" s="57"/>
      <c r="AJ53" s="57"/>
      <c r="AK53" s="57"/>
      <c r="AL53" s="57"/>
      <c r="AM53" s="57"/>
      <c r="AN53" s="57"/>
      <c r="AO53" s="57"/>
      <c r="AP53" s="57"/>
      <c r="AQ53" s="57">
        <v>99999999.010000005</v>
      </c>
      <c r="AR53" s="301">
        <v>66758709.450000003</v>
      </c>
      <c r="AS53" s="213">
        <v>46898550.640000001</v>
      </c>
      <c r="AT53" s="91"/>
      <c r="AU53" s="91"/>
      <c r="AV53" s="91"/>
      <c r="AW53" s="91"/>
      <c r="AX53" s="91"/>
      <c r="AY53" s="91"/>
      <c r="AZ53" s="91"/>
      <c r="BA53" s="91"/>
      <c r="BB53" s="91"/>
      <c r="BC53" s="91"/>
    </row>
    <row r="54" spans="1:55" ht="67.5" x14ac:dyDescent="0.25">
      <c r="A54" s="59"/>
      <c r="B54" s="6"/>
      <c r="C54" s="6"/>
      <c r="D54" s="6"/>
      <c r="E54" s="6">
        <v>1</v>
      </c>
      <c r="F54" s="6"/>
      <c r="G54" s="6"/>
      <c r="H54" s="350" t="s">
        <v>254</v>
      </c>
      <c r="I54" s="344" t="s">
        <v>64</v>
      </c>
      <c r="J54" s="351">
        <v>0</v>
      </c>
      <c r="K54" s="351">
        <v>0</v>
      </c>
      <c r="L54" s="351">
        <v>0</v>
      </c>
      <c r="M54" s="351">
        <v>45</v>
      </c>
      <c r="N54" s="351">
        <v>45</v>
      </c>
      <c r="O54" s="341">
        <f>+AA54</f>
        <v>1</v>
      </c>
      <c r="P54" s="57"/>
      <c r="Q54" s="57"/>
      <c r="R54" s="57"/>
      <c r="S54" s="57"/>
      <c r="T54" s="57"/>
      <c r="U54" s="57"/>
      <c r="V54" s="57"/>
      <c r="W54" s="57">
        <v>0</v>
      </c>
      <c r="X54" s="57"/>
      <c r="Y54" s="57">
        <v>21</v>
      </c>
      <c r="Z54" s="57"/>
      <c r="AA54" s="57">
        <v>1</v>
      </c>
      <c r="AB54" s="57">
        <v>0</v>
      </c>
      <c r="AC54" s="57">
        <v>0</v>
      </c>
      <c r="AD54" s="57"/>
      <c r="AE54" s="58"/>
      <c r="AF54" s="58"/>
      <c r="AG54" s="94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300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</row>
    <row r="55" spans="1:55" ht="135" x14ac:dyDescent="0.25">
      <c r="A55" s="59"/>
      <c r="B55" s="6"/>
      <c r="C55" s="6">
        <v>15</v>
      </c>
      <c r="D55" s="6"/>
      <c r="E55" s="6"/>
      <c r="F55" s="6"/>
      <c r="G55" s="6"/>
      <c r="H55" s="339" t="s">
        <v>262</v>
      </c>
      <c r="I55" s="344" t="s">
        <v>64</v>
      </c>
      <c r="J55" s="351"/>
      <c r="K55" s="351"/>
      <c r="L55" s="351">
        <v>0</v>
      </c>
      <c r="M55" s="351">
        <v>94</v>
      </c>
      <c r="N55" s="351">
        <v>94</v>
      </c>
      <c r="O55" s="341">
        <f>+AA55</f>
        <v>94</v>
      </c>
      <c r="P55" s="57"/>
      <c r="Q55" s="57"/>
      <c r="R55" s="57"/>
      <c r="S55" s="57"/>
      <c r="T55" s="57"/>
      <c r="U55" s="57"/>
      <c r="V55" s="57"/>
      <c r="W55" s="57"/>
      <c r="X55" s="57"/>
      <c r="Y55" s="57">
        <v>0</v>
      </c>
      <c r="Z55" s="57"/>
      <c r="AA55" s="57">
        <v>94</v>
      </c>
      <c r="AB55" s="57"/>
      <c r="AC55" s="57"/>
      <c r="AD55" s="57"/>
      <c r="AE55" s="57">
        <v>324000000</v>
      </c>
      <c r="AF55" s="57">
        <f>+AG55</f>
        <v>319880132.19</v>
      </c>
      <c r="AG55" s="94">
        <f>+AS55</f>
        <v>319880132.19</v>
      </c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300"/>
      <c r="AS55" s="213">
        <v>319880132.19</v>
      </c>
      <c r="AT55" s="91"/>
      <c r="AU55" s="91"/>
      <c r="AV55" s="91"/>
      <c r="AW55" s="91"/>
      <c r="AX55" s="91"/>
      <c r="AY55" s="91"/>
      <c r="AZ55" s="91"/>
      <c r="BA55" s="91"/>
      <c r="BB55" s="91"/>
      <c r="BC55" s="91"/>
    </row>
    <row r="56" spans="1:55" ht="41.25" thickBot="1" x14ac:dyDescent="0.3">
      <c r="A56" s="60"/>
      <c r="B56" s="61"/>
      <c r="C56" s="61"/>
      <c r="D56" s="61"/>
      <c r="E56" s="61">
        <v>1</v>
      </c>
      <c r="F56" s="61"/>
      <c r="G56" s="61"/>
      <c r="H56" s="354" t="s">
        <v>263</v>
      </c>
      <c r="I56" s="355" t="s">
        <v>64</v>
      </c>
      <c r="J56" s="356">
        <v>0</v>
      </c>
      <c r="K56" s="356">
        <v>0</v>
      </c>
      <c r="L56" s="356">
        <v>0</v>
      </c>
      <c r="M56" s="356">
        <v>94</v>
      </c>
      <c r="N56" s="356">
        <v>94</v>
      </c>
      <c r="O56" s="341">
        <f>+AA56</f>
        <v>94</v>
      </c>
      <c r="P56" s="246"/>
      <c r="Q56" s="246"/>
      <c r="R56" s="246"/>
      <c r="S56" s="246"/>
      <c r="T56" s="246"/>
      <c r="U56" s="246"/>
      <c r="V56" s="246"/>
      <c r="W56" s="246">
        <v>0</v>
      </c>
      <c r="X56" s="246"/>
      <c r="Y56" s="246">
        <v>0</v>
      </c>
      <c r="Z56" s="246"/>
      <c r="AA56" s="246">
        <v>94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94">
        <f>+AR56</f>
        <v>0</v>
      </c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300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</row>
    <row r="57" spans="1:55" x14ac:dyDescent="0.2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</row>
    <row r="58" spans="1:55" x14ac:dyDescent="0.2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</row>
    <row r="59" spans="1:55" x14ac:dyDescent="0.2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</row>
    <row r="60" spans="1:55" x14ac:dyDescent="0.2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</row>
    <row r="61" spans="1:55" x14ac:dyDescent="0.2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91"/>
      <c r="AA61" s="91"/>
      <c r="AB61" s="91"/>
      <c r="AC61" s="91"/>
      <c r="AD61" s="213"/>
      <c r="AE61" s="213"/>
      <c r="AF61" s="213"/>
      <c r="AG61" s="213"/>
      <c r="AH61" s="213">
        <f t="shared" ref="AH61:AQ61" si="10">SUM(AH7:AH56)</f>
        <v>1216400.69</v>
      </c>
      <c r="AI61" s="213">
        <f t="shared" si="10"/>
        <v>101077916.88</v>
      </c>
      <c r="AJ61" s="213">
        <f t="shared" si="10"/>
        <v>70255378.319999993</v>
      </c>
      <c r="AK61" s="213">
        <f t="shared" si="10"/>
        <v>121726850.16</v>
      </c>
      <c r="AL61" s="213">
        <f t="shared" si="10"/>
        <v>111462344.03</v>
      </c>
      <c r="AM61" s="213">
        <f t="shared" si="10"/>
        <v>119118013.03</v>
      </c>
      <c r="AN61" s="213">
        <f t="shared" si="10"/>
        <v>274954458.35000002</v>
      </c>
      <c r="AO61" s="213">
        <f t="shared" si="10"/>
        <v>348196854.66000003</v>
      </c>
      <c r="AP61" s="213">
        <f t="shared" si="10"/>
        <v>370556342.68000001</v>
      </c>
      <c r="AQ61" s="213">
        <f t="shared" si="10"/>
        <v>253471191.94</v>
      </c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</row>
    <row r="62" spans="1:55" x14ac:dyDescent="0.2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213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</row>
    <row r="63" spans="1:55" x14ac:dyDescent="0.2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</row>
    <row r="64" spans="1:55" x14ac:dyDescent="0.2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213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</row>
    <row r="65" spans="1:55" x14ac:dyDescent="0.2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</row>
    <row r="66" spans="1:55" x14ac:dyDescent="0.2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</row>
    <row r="67" spans="1:55" x14ac:dyDescent="0.25">
      <c r="AE67" s="91"/>
    </row>
    <row r="68" spans="1:55" x14ac:dyDescent="0.25">
      <c r="H68" t="s">
        <v>218</v>
      </c>
    </row>
    <row r="69" spans="1:55" x14ac:dyDescent="0.25">
      <c r="H69" t="s">
        <v>219</v>
      </c>
    </row>
  </sheetData>
  <mergeCells count="7">
    <mergeCell ref="AX5:AY5"/>
    <mergeCell ref="AZ5:BA5"/>
    <mergeCell ref="BB5:BC5"/>
    <mergeCell ref="A5:I5"/>
    <mergeCell ref="J5:O5"/>
    <mergeCell ref="AB5:AG5"/>
    <mergeCell ref="AV5:AW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C35"/>
  <sheetViews>
    <sheetView topLeftCell="A14" zoomScale="85" zoomScaleNormal="85" workbookViewId="0">
      <selection activeCell="M16" sqref="M1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3" width="13.7109375" customWidth="1"/>
    <col min="34" max="45" width="13.7109375" hidden="1" customWidth="1"/>
    <col min="46" max="46" width="13.140625" bestFit="1" customWidth="1"/>
    <col min="48" max="48" width="10.7109375" customWidth="1"/>
    <col min="49" max="49" width="15.7109375" customWidth="1"/>
    <col min="50" max="50" width="10.7109375" customWidth="1"/>
    <col min="51" max="51" width="15.7109375" customWidth="1"/>
    <col min="52" max="52" width="10.7109375" customWidth="1"/>
    <col min="53" max="53" width="15.7109375" customWidth="1"/>
    <col min="54" max="54" width="10.7109375" customWidth="1"/>
    <col min="55" max="55" width="15.7109375" customWidth="1"/>
  </cols>
  <sheetData>
    <row r="1" spans="1:55" ht="15" customHeight="1" x14ac:dyDescent="0.25">
      <c r="A1" s="32" t="s">
        <v>49</v>
      </c>
    </row>
    <row r="2" spans="1:55" ht="15" customHeight="1" x14ac:dyDescent="0.25">
      <c r="A2" s="32" t="s">
        <v>50</v>
      </c>
    </row>
    <row r="3" spans="1:55" ht="15" customHeight="1" x14ac:dyDescent="0.25">
      <c r="A3" s="32" t="str">
        <f>+'201. DS'!A3</f>
        <v>EJERCICIO FISCAL 2022 - ACTUALIZADA DICIEMBRE</v>
      </c>
    </row>
    <row r="4" spans="1:55" ht="15" customHeight="1" thickBot="1" x14ac:dyDescent="0.3"/>
    <row r="5" spans="1:55" s="91" customFormat="1" x14ac:dyDescent="0.25">
      <c r="A5" s="327" t="s">
        <v>85</v>
      </c>
      <c r="B5" s="328"/>
      <c r="C5" s="328"/>
      <c r="D5" s="328"/>
      <c r="E5" s="328"/>
      <c r="F5" s="328"/>
      <c r="G5" s="328"/>
      <c r="H5" s="328"/>
      <c r="I5" s="328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29" t="s">
        <v>2</v>
      </c>
      <c r="AC5" s="329"/>
      <c r="AD5" s="329"/>
      <c r="AE5" s="329"/>
      <c r="AF5" s="329"/>
      <c r="AG5" s="330"/>
      <c r="AH5" s="15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0"/>
      <c r="AU5" s="50"/>
      <c r="AV5" s="326" t="s">
        <v>51</v>
      </c>
      <c r="AW5" s="326"/>
      <c r="AX5" s="326" t="s">
        <v>52</v>
      </c>
      <c r="AY5" s="326"/>
      <c r="AZ5" s="326" t="s">
        <v>53</v>
      </c>
      <c r="BA5" s="326"/>
      <c r="BB5" s="326" t="s">
        <v>55</v>
      </c>
      <c r="BC5" s="326"/>
    </row>
    <row r="6" spans="1:55" s="107" customFormat="1" ht="36.75" thickBot="1" x14ac:dyDescent="0.3">
      <c r="A6" s="238" t="s">
        <v>3</v>
      </c>
      <c r="B6" s="229" t="s">
        <v>4</v>
      </c>
      <c r="C6" s="229" t="s">
        <v>5</v>
      </c>
      <c r="D6" s="229" t="s">
        <v>6</v>
      </c>
      <c r="E6" s="229" t="s">
        <v>7</v>
      </c>
      <c r="F6" s="229" t="s">
        <v>8</v>
      </c>
      <c r="G6" s="229" t="s">
        <v>9</v>
      </c>
      <c r="H6" s="230" t="s">
        <v>10</v>
      </c>
      <c r="I6" s="231" t="s">
        <v>11</v>
      </c>
      <c r="J6" s="232" t="s">
        <v>12</v>
      </c>
      <c r="K6" s="232" t="s">
        <v>65</v>
      </c>
      <c r="L6" s="232" t="s">
        <v>13</v>
      </c>
      <c r="M6" s="232" t="s">
        <v>14</v>
      </c>
      <c r="N6" s="233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3" t="s">
        <v>22</v>
      </c>
      <c r="V6" s="233" t="s">
        <v>23</v>
      </c>
      <c r="W6" s="233" t="s">
        <v>24</v>
      </c>
      <c r="X6" s="233" t="s">
        <v>25</v>
      </c>
      <c r="Y6" s="233" t="s">
        <v>26</v>
      </c>
      <c r="Z6" s="233" t="s">
        <v>27</v>
      </c>
      <c r="AA6" s="233" t="s">
        <v>28</v>
      </c>
      <c r="AB6" s="232" t="s">
        <v>12</v>
      </c>
      <c r="AC6" s="232" t="s">
        <v>65</v>
      </c>
      <c r="AD6" s="232" t="s">
        <v>13</v>
      </c>
      <c r="AE6" s="232" t="s">
        <v>14</v>
      </c>
      <c r="AF6" s="233" t="s">
        <v>15</v>
      </c>
      <c r="AG6" s="239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2"/>
      <c r="AU6" s="92"/>
      <c r="AV6" s="68" t="s">
        <v>54</v>
      </c>
      <c r="AW6" s="68" t="s">
        <v>2</v>
      </c>
      <c r="AX6" s="68" t="s">
        <v>54</v>
      </c>
      <c r="AY6" s="68" t="s">
        <v>2</v>
      </c>
      <c r="AZ6" s="68" t="s">
        <v>54</v>
      </c>
      <c r="BA6" s="68" t="s">
        <v>2</v>
      </c>
      <c r="BB6" s="68" t="s">
        <v>54</v>
      </c>
      <c r="BC6" s="68" t="s">
        <v>2</v>
      </c>
    </row>
    <row r="7" spans="1:55" s="91" customFormat="1" ht="30" x14ac:dyDescent="0.3">
      <c r="A7" s="4"/>
      <c r="B7" s="5">
        <v>12</v>
      </c>
      <c r="C7" s="5"/>
      <c r="D7" s="5"/>
      <c r="E7" s="5"/>
      <c r="F7" s="5"/>
      <c r="G7" s="5"/>
      <c r="H7" s="53" t="s">
        <v>86</v>
      </c>
      <c r="I7" s="237"/>
      <c r="J7" s="108"/>
      <c r="K7" s="108"/>
      <c r="L7" s="10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  <c r="AH7" s="159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1"/>
      <c r="AT7" s="77"/>
      <c r="AU7" s="77"/>
      <c r="AV7" s="95"/>
      <c r="AW7" s="84"/>
      <c r="AX7" s="95"/>
      <c r="AY7" s="84"/>
      <c r="AZ7" s="95"/>
      <c r="BA7" s="84"/>
      <c r="BB7" s="95"/>
      <c r="BC7" s="84"/>
    </row>
    <row r="8" spans="1:55" s="91" customFormat="1" x14ac:dyDescent="0.3">
      <c r="A8" s="4"/>
      <c r="B8" s="5"/>
      <c r="C8" s="5">
        <v>0</v>
      </c>
      <c r="D8" s="5"/>
      <c r="E8" s="5"/>
      <c r="F8" s="5"/>
      <c r="G8" s="5"/>
      <c r="H8" s="53" t="s">
        <v>30</v>
      </c>
      <c r="I8" s="237"/>
      <c r="J8" s="108"/>
      <c r="K8" s="108"/>
      <c r="L8" s="10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  <c r="AH8" s="160"/>
      <c r="AI8" s="9"/>
      <c r="AJ8" s="9"/>
      <c r="AK8" s="9"/>
      <c r="AL8" s="9"/>
      <c r="AM8" s="9"/>
      <c r="AN8" s="9"/>
      <c r="AO8" s="9"/>
      <c r="AP8" s="9"/>
      <c r="AQ8" s="9"/>
      <c r="AR8" s="9"/>
      <c r="AS8" s="10"/>
      <c r="AT8" s="77"/>
      <c r="AU8" s="77"/>
      <c r="AV8" s="95"/>
      <c r="AW8" s="84"/>
      <c r="AX8" s="95"/>
      <c r="AY8" s="84"/>
      <c r="AZ8" s="95"/>
      <c r="BA8" s="84"/>
      <c r="BB8" s="95"/>
      <c r="BC8" s="84"/>
    </row>
    <row r="9" spans="1:55" s="91" customFormat="1" x14ac:dyDescent="0.3">
      <c r="A9" s="4"/>
      <c r="B9" s="5"/>
      <c r="C9" s="5"/>
      <c r="D9" s="5">
        <v>0</v>
      </c>
      <c r="E9" s="5"/>
      <c r="F9" s="5"/>
      <c r="G9" s="5"/>
      <c r="H9" s="53" t="s">
        <v>31</v>
      </c>
      <c r="I9" s="237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/>
      <c r="AH9" s="160"/>
      <c r="AI9" s="9"/>
      <c r="AJ9" s="9"/>
      <c r="AK9" s="9"/>
      <c r="AL9" s="9"/>
      <c r="AM9" s="9"/>
      <c r="AN9" s="9"/>
      <c r="AO9" s="9"/>
      <c r="AP9" s="9"/>
      <c r="AQ9" s="9"/>
      <c r="AR9" s="9"/>
      <c r="AS9" s="10"/>
      <c r="AT9" s="77"/>
      <c r="AU9" s="77"/>
      <c r="AV9" s="95"/>
      <c r="AW9" s="84"/>
      <c r="AX9" s="95"/>
      <c r="AY9" s="84"/>
      <c r="AZ9" s="95"/>
      <c r="BA9" s="84"/>
      <c r="BB9" s="95"/>
      <c r="BC9" s="84"/>
    </row>
    <row r="10" spans="1:55" s="91" customFormat="1" x14ac:dyDescent="0.3">
      <c r="A10" s="4"/>
      <c r="B10" s="5"/>
      <c r="C10" s="5"/>
      <c r="D10" s="5"/>
      <c r="E10" s="5">
        <v>1</v>
      </c>
      <c r="F10" s="5">
        <v>0</v>
      </c>
      <c r="G10" s="5"/>
      <c r="H10" s="53" t="s">
        <v>59</v>
      </c>
      <c r="I10" s="237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>
        <v>21689307</v>
      </c>
      <c r="AC10" s="9">
        <v>11535420</v>
      </c>
      <c r="AD10" s="9">
        <v>11535420</v>
      </c>
      <c r="AE10" s="9">
        <v>13020024</v>
      </c>
      <c r="AF10" s="9">
        <f>10014152.58+AR10+AS10</f>
        <v>12744640.969999999</v>
      </c>
      <c r="AG10" s="10">
        <f>+AS10</f>
        <v>1421485.7</v>
      </c>
      <c r="AH10" s="249">
        <v>65577.09</v>
      </c>
      <c r="AI10" s="195">
        <v>1531899.32</v>
      </c>
      <c r="AJ10" s="195">
        <v>1214980.75</v>
      </c>
      <c r="AK10" s="195">
        <v>899225.42</v>
      </c>
      <c r="AL10" s="195">
        <v>956033.12</v>
      </c>
      <c r="AM10" s="195">
        <v>109372.43</v>
      </c>
      <c r="AN10" s="9">
        <v>110271.27</v>
      </c>
      <c r="AO10" s="9">
        <v>113809.1</v>
      </c>
      <c r="AP10" s="9">
        <v>67891.520000000004</v>
      </c>
      <c r="AQ10" s="9">
        <v>1107242.78</v>
      </c>
      <c r="AR10" s="9">
        <v>1309002.69</v>
      </c>
      <c r="AS10" s="10">
        <v>1421485.7</v>
      </c>
      <c r="AT10" s="83"/>
      <c r="AU10" s="77"/>
      <c r="AV10" s="95"/>
      <c r="AW10" s="84"/>
      <c r="AX10" s="95"/>
      <c r="AY10" s="84"/>
      <c r="AZ10" s="95"/>
      <c r="BA10" s="84"/>
      <c r="BB10" s="95"/>
      <c r="BC10" s="84"/>
    </row>
    <row r="11" spans="1:55" s="91" customFormat="1" x14ac:dyDescent="0.3">
      <c r="A11" s="4">
        <v>4</v>
      </c>
      <c r="B11" s="5"/>
      <c r="C11" s="5"/>
      <c r="D11" s="5"/>
      <c r="E11" s="5"/>
      <c r="F11" s="5"/>
      <c r="G11" s="5">
        <v>1</v>
      </c>
      <c r="H11" s="54" t="s">
        <v>60</v>
      </c>
      <c r="I11" s="244" t="s">
        <v>34</v>
      </c>
      <c r="J11" s="9">
        <f t="shared" ref="J11:AA11" si="0">J12</f>
        <v>100</v>
      </c>
      <c r="K11" s="9">
        <f t="shared" si="0"/>
        <v>85</v>
      </c>
      <c r="L11" s="9">
        <f t="shared" si="0"/>
        <v>85</v>
      </c>
      <c r="M11" s="9">
        <f>M12</f>
        <v>184</v>
      </c>
      <c r="N11" s="9">
        <f>+N12</f>
        <v>180</v>
      </c>
      <c r="O11" s="9">
        <f>+AA11</f>
        <v>1</v>
      </c>
      <c r="P11" s="9">
        <f t="shared" si="0"/>
        <v>0</v>
      </c>
      <c r="Q11" s="9">
        <f t="shared" si="0"/>
        <v>34</v>
      </c>
      <c r="R11" s="9">
        <f t="shared" si="0"/>
        <v>0</v>
      </c>
      <c r="S11" s="9">
        <f t="shared" si="0"/>
        <v>0</v>
      </c>
      <c r="T11" s="9">
        <f t="shared" si="0"/>
        <v>30</v>
      </c>
      <c r="U11" s="9">
        <f t="shared" si="0"/>
        <v>0</v>
      </c>
      <c r="V11" s="9">
        <v>0</v>
      </c>
      <c r="W11" s="9">
        <f t="shared" si="0"/>
        <v>0</v>
      </c>
      <c r="X11" s="9">
        <f t="shared" si="0"/>
        <v>1</v>
      </c>
      <c r="Y11" s="9">
        <v>114</v>
      </c>
      <c r="Z11" s="9">
        <f t="shared" si="0"/>
        <v>0</v>
      </c>
      <c r="AA11" s="9">
        <f t="shared" si="0"/>
        <v>1</v>
      </c>
      <c r="AB11" s="9"/>
      <c r="AC11" s="9"/>
      <c r="AD11" s="9"/>
      <c r="AE11" s="9"/>
      <c r="AF11" s="9"/>
      <c r="AG11" s="10"/>
      <c r="AH11" s="160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86"/>
      <c r="AU11" s="50"/>
      <c r="AV11" s="95">
        <f>+AV12</f>
        <v>105</v>
      </c>
      <c r="AW11" s="101">
        <v>22902698.309999999</v>
      </c>
      <c r="AX11" s="95">
        <f t="shared" ref="AX11:BC11" si="1">+AX12</f>
        <v>110</v>
      </c>
      <c r="AY11" s="84">
        <f t="shared" si="1"/>
        <v>25566210.967500001</v>
      </c>
      <c r="AZ11" s="95">
        <f t="shared" si="1"/>
        <v>115</v>
      </c>
      <c r="BA11" s="84">
        <f t="shared" si="1"/>
        <v>26844521.515875001</v>
      </c>
      <c r="BB11" s="95">
        <f t="shared" si="1"/>
        <v>120</v>
      </c>
      <c r="BC11" s="84">
        <f t="shared" si="1"/>
        <v>28186747.591668751</v>
      </c>
    </row>
    <row r="12" spans="1:55" s="91" customFormat="1" x14ac:dyDescent="0.25">
      <c r="A12" s="4"/>
      <c r="B12" s="5"/>
      <c r="C12" s="5"/>
      <c r="D12" s="5"/>
      <c r="E12" s="5"/>
      <c r="F12" s="5"/>
      <c r="G12" s="6">
        <v>2</v>
      </c>
      <c r="H12" s="55" t="s">
        <v>60</v>
      </c>
      <c r="I12" s="245" t="s">
        <v>34</v>
      </c>
      <c r="J12" s="11">
        <v>100</v>
      </c>
      <c r="K12" s="11">
        <v>85</v>
      </c>
      <c r="L12" s="11">
        <v>85</v>
      </c>
      <c r="M12" s="11">
        <v>184</v>
      </c>
      <c r="N12" s="11">
        <f>SUM(P12:AA12)</f>
        <v>180</v>
      </c>
      <c r="O12" s="11">
        <f>+AA12</f>
        <v>1</v>
      </c>
      <c r="P12" s="11">
        <v>0</v>
      </c>
      <c r="Q12" s="11">
        <v>34</v>
      </c>
      <c r="R12" s="11">
        <v>0</v>
      </c>
      <c r="S12" s="11">
        <v>0</v>
      </c>
      <c r="T12" s="11">
        <v>30</v>
      </c>
      <c r="U12" s="11">
        <v>0</v>
      </c>
      <c r="V12" s="11">
        <v>0</v>
      </c>
      <c r="W12" s="11">
        <v>0</v>
      </c>
      <c r="X12" s="11">
        <v>1</v>
      </c>
      <c r="Y12" s="11">
        <v>114</v>
      </c>
      <c r="Z12" s="11">
        <v>0</v>
      </c>
      <c r="AA12" s="11">
        <v>1</v>
      </c>
      <c r="AB12" s="9"/>
      <c r="AC12" s="9"/>
      <c r="AD12" s="9"/>
      <c r="AE12" s="9"/>
      <c r="AF12" s="9"/>
      <c r="AG12" s="10"/>
      <c r="AH12" s="160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10"/>
      <c r="AT12" s="86"/>
      <c r="AU12" s="50"/>
      <c r="AV12" s="75">
        <v>105</v>
      </c>
      <c r="AW12" s="100">
        <v>24348772.349999998</v>
      </c>
      <c r="AX12" s="75">
        <v>110</v>
      </c>
      <c r="AY12" s="100">
        <v>25566210.967500001</v>
      </c>
      <c r="AZ12" s="75">
        <v>115</v>
      </c>
      <c r="BA12" s="100">
        <v>26844521.515875001</v>
      </c>
      <c r="BB12" s="75">
        <v>120</v>
      </c>
      <c r="BC12" s="100">
        <v>28186747.591668751</v>
      </c>
    </row>
    <row r="13" spans="1:55" s="91" customFormat="1" x14ac:dyDescent="0.3">
      <c r="A13" s="4"/>
      <c r="B13" s="5"/>
      <c r="C13" s="5"/>
      <c r="D13" s="5"/>
      <c r="E13" s="5">
        <v>2</v>
      </c>
      <c r="F13" s="5">
        <v>0</v>
      </c>
      <c r="G13" s="5"/>
      <c r="H13" s="54" t="s">
        <v>87</v>
      </c>
      <c r="I13" s="19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12809622.5</v>
      </c>
      <c r="AC13" s="9">
        <v>2852578</v>
      </c>
      <c r="AD13" s="9">
        <v>2852578</v>
      </c>
      <c r="AE13" s="9">
        <v>2639656</v>
      </c>
      <c r="AF13" s="9">
        <f>1694802.97+AR13+AS13</f>
        <v>2441944.9300000002</v>
      </c>
      <c r="AG13" s="10">
        <f>+AS13</f>
        <v>339831.2</v>
      </c>
      <c r="AH13" s="249">
        <v>104609.49</v>
      </c>
      <c r="AI13" s="195">
        <v>300853.69</v>
      </c>
      <c r="AJ13" s="195">
        <v>211516.66</v>
      </c>
      <c r="AK13" s="195">
        <v>169939.03</v>
      </c>
      <c r="AL13" s="195">
        <v>159383.67999999999</v>
      </c>
      <c r="AM13" s="195">
        <f>131256.96+93824.96+8200+29232</f>
        <v>262513.91999999998</v>
      </c>
      <c r="AN13" s="9">
        <v>1176883.8799999999</v>
      </c>
      <c r="AO13" s="9">
        <v>91550.3</v>
      </c>
      <c r="AP13" s="9">
        <v>35988.67</v>
      </c>
      <c r="AQ13" s="9">
        <v>123041</v>
      </c>
      <c r="AR13" s="9">
        <v>407310.76</v>
      </c>
      <c r="AS13" s="10">
        <v>339831.2</v>
      </c>
      <c r="AT13" s="83"/>
      <c r="AU13" s="50"/>
      <c r="AV13" s="48"/>
      <c r="AW13" s="48"/>
      <c r="AX13" s="48"/>
      <c r="AY13" s="48"/>
      <c r="AZ13" s="48"/>
      <c r="BA13" s="48"/>
      <c r="BB13" s="48"/>
      <c r="BC13" s="48"/>
    </row>
    <row r="14" spans="1:55" s="91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4" t="s">
        <v>88</v>
      </c>
      <c r="I14" s="244" t="s">
        <v>64</v>
      </c>
      <c r="J14" s="9">
        <f>SUM(J15:J17,J19:J20)</f>
        <v>7450</v>
      </c>
      <c r="K14" s="9">
        <f>SUM(K15:K17,K19:K20)</f>
        <v>4000</v>
      </c>
      <c r="L14" s="9">
        <f>SUM(L15:L17,L19:L20)</f>
        <v>4000</v>
      </c>
      <c r="M14" s="9">
        <v>11124</v>
      </c>
      <c r="N14" s="9">
        <f>8985+AA14</f>
        <v>10019</v>
      </c>
      <c r="O14" s="11">
        <f t="shared" ref="O14:O20" si="2">+AA14</f>
        <v>1034</v>
      </c>
      <c r="P14" s="9">
        <f t="shared" ref="P14:V14" si="3">P15</f>
        <v>0</v>
      </c>
      <c r="Q14" s="9">
        <f t="shared" si="3"/>
        <v>35</v>
      </c>
      <c r="R14" s="9">
        <f t="shared" si="3"/>
        <v>20</v>
      </c>
      <c r="S14" s="9">
        <f t="shared" si="3"/>
        <v>20</v>
      </c>
      <c r="T14" s="9">
        <f>SUM(T15:T17,T19,T20)</f>
        <v>379</v>
      </c>
      <c r="U14" s="9">
        <v>285</v>
      </c>
      <c r="V14" s="9">
        <f t="shared" si="3"/>
        <v>75</v>
      </c>
      <c r="W14" s="9">
        <v>385</v>
      </c>
      <c r="X14" s="9">
        <v>3746</v>
      </c>
      <c r="Y14" s="9">
        <v>1605</v>
      </c>
      <c r="Z14" s="9">
        <v>1430</v>
      </c>
      <c r="AA14" s="9">
        <v>1034</v>
      </c>
      <c r="AB14" s="9"/>
      <c r="AC14" s="9"/>
      <c r="AD14" s="9"/>
      <c r="AE14" s="9"/>
      <c r="AF14" s="9"/>
      <c r="AG14" s="10"/>
      <c r="AH14" s="160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86"/>
      <c r="AU14" s="50"/>
      <c r="AV14" s="78">
        <f>AV15</f>
        <v>7810</v>
      </c>
      <c r="AW14" s="35">
        <f>AW15</f>
        <v>2583115.5</v>
      </c>
      <c r="AX14" s="78">
        <f t="shared" ref="AX14:BC14" si="4">AX15</f>
        <v>8190</v>
      </c>
      <c r="AY14" s="35">
        <f t="shared" si="4"/>
        <v>2712271.2749999999</v>
      </c>
      <c r="AZ14" s="78">
        <f t="shared" si="4"/>
        <v>8579.5</v>
      </c>
      <c r="BA14" s="35">
        <f t="shared" si="4"/>
        <v>2847884.8387500006</v>
      </c>
      <c r="BB14" s="78">
        <f t="shared" si="4"/>
        <v>9030</v>
      </c>
      <c r="BC14" s="35">
        <f t="shared" si="4"/>
        <v>2990279.0806875005</v>
      </c>
    </row>
    <row r="15" spans="1:55" s="91" customFormat="1" ht="40.5" x14ac:dyDescent="0.25">
      <c r="A15" s="4"/>
      <c r="B15" s="5"/>
      <c r="C15" s="5"/>
      <c r="D15" s="5"/>
      <c r="E15" s="5"/>
      <c r="F15" s="5"/>
      <c r="G15" s="6">
        <v>2</v>
      </c>
      <c r="H15" s="55" t="s">
        <v>89</v>
      </c>
      <c r="I15" s="245" t="s">
        <v>64</v>
      </c>
      <c r="J15" s="11">
        <v>800</v>
      </c>
      <c r="K15" s="11">
        <v>500</v>
      </c>
      <c r="L15" s="11">
        <v>500</v>
      </c>
      <c r="M15" s="11">
        <v>500</v>
      </c>
      <c r="N15" s="11">
        <f>SUM(P15:AA15)</f>
        <v>500</v>
      </c>
      <c r="O15" s="11">
        <f t="shared" si="2"/>
        <v>30</v>
      </c>
      <c r="P15" s="11">
        <v>0</v>
      </c>
      <c r="Q15" s="11">
        <v>35</v>
      </c>
      <c r="R15" s="11">
        <v>20</v>
      </c>
      <c r="S15" s="11">
        <v>20</v>
      </c>
      <c r="T15" s="11">
        <v>69</v>
      </c>
      <c r="U15" s="11">
        <v>75</v>
      </c>
      <c r="V15" s="11">
        <v>75</v>
      </c>
      <c r="W15" s="11">
        <v>75</v>
      </c>
      <c r="X15" s="11">
        <v>41</v>
      </c>
      <c r="Y15" s="11">
        <v>30</v>
      </c>
      <c r="Z15" s="11">
        <v>30</v>
      </c>
      <c r="AA15" s="11">
        <v>30</v>
      </c>
      <c r="AB15" s="11"/>
      <c r="AC15" s="11"/>
      <c r="AD15" s="11"/>
      <c r="AE15" s="9"/>
      <c r="AF15" s="9"/>
      <c r="AG15" s="10"/>
      <c r="AH15" s="160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10"/>
      <c r="AT15" s="50"/>
      <c r="AU15" s="50"/>
      <c r="AV15" s="104">
        <v>7810</v>
      </c>
      <c r="AW15" s="105">
        <v>2583115.5</v>
      </c>
      <c r="AX15" s="104">
        <v>8190</v>
      </c>
      <c r="AY15" s="106">
        <v>2712271.2749999999</v>
      </c>
      <c r="AZ15" s="104">
        <v>8579.5</v>
      </c>
      <c r="BA15" s="106">
        <v>2847884.8387500006</v>
      </c>
      <c r="BB15" s="104">
        <v>9030</v>
      </c>
      <c r="BC15" s="106">
        <v>2990279.0806875005</v>
      </c>
    </row>
    <row r="16" spans="1:55" s="91" customFormat="1" ht="40.5" x14ac:dyDescent="0.25">
      <c r="A16" s="4"/>
      <c r="B16" s="5"/>
      <c r="C16" s="5"/>
      <c r="D16" s="5"/>
      <c r="E16" s="5"/>
      <c r="F16" s="5"/>
      <c r="G16" s="6">
        <v>3</v>
      </c>
      <c r="H16" s="55" t="s">
        <v>91</v>
      </c>
      <c r="I16" s="245" t="s">
        <v>64</v>
      </c>
      <c r="J16" s="11">
        <v>1145</v>
      </c>
      <c r="K16" s="11">
        <v>1500</v>
      </c>
      <c r="L16" s="11">
        <v>1500</v>
      </c>
      <c r="M16" s="11">
        <v>2200</v>
      </c>
      <c r="N16" s="9">
        <f>1990+AA16</f>
        <v>2200</v>
      </c>
      <c r="O16" s="11">
        <f t="shared" si="2"/>
        <v>210</v>
      </c>
      <c r="P16" s="11">
        <v>0</v>
      </c>
      <c r="Q16" s="11">
        <v>0</v>
      </c>
      <c r="R16" s="11">
        <v>0</v>
      </c>
      <c r="S16" s="11">
        <v>125</v>
      </c>
      <c r="T16" s="11">
        <v>140</v>
      </c>
      <c r="U16" s="11">
        <v>140</v>
      </c>
      <c r="V16" s="11">
        <v>140</v>
      </c>
      <c r="W16" s="11">
        <v>140</v>
      </c>
      <c r="X16" s="11">
        <v>605</v>
      </c>
      <c r="Y16" s="11">
        <v>400</v>
      </c>
      <c r="Z16" s="11">
        <v>30</v>
      </c>
      <c r="AA16" s="11">
        <v>210</v>
      </c>
      <c r="AB16" s="11"/>
      <c r="AC16" s="11"/>
      <c r="AD16" s="11"/>
      <c r="AE16" s="9"/>
      <c r="AF16" s="9"/>
      <c r="AG16" s="10"/>
      <c r="AH16" s="160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10"/>
      <c r="AT16" s="50"/>
      <c r="AU16" s="50"/>
      <c r="AV16" s="104"/>
      <c r="AW16" s="105"/>
      <c r="AX16" s="104"/>
      <c r="AY16" s="106"/>
      <c r="AZ16" s="104"/>
      <c r="BA16" s="106"/>
      <c r="BB16" s="104"/>
      <c r="BC16" s="106"/>
    </row>
    <row r="17" spans="1:55" s="91" customFormat="1" ht="40.5" x14ac:dyDescent="0.25">
      <c r="A17" s="4"/>
      <c r="B17" s="5"/>
      <c r="C17" s="5"/>
      <c r="D17" s="5"/>
      <c r="E17" s="5"/>
      <c r="F17" s="5"/>
      <c r="G17" s="6">
        <v>4</v>
      </c>
      <c r="H17" s="55" t="s">
        <v>92</v>
      </c>
      <c r="I17" s="245" t="s">
        <v>64</v>
      </c>
      <c r="J17" s="11">
        <v>1450</v>
      </c>
      <c r="K17" s="11">
        <v>1100</v>
      </c>
      <c r="L17" s="11">
        <v>1100</v>
      </c>
      <c r="M17" s="11">
        <v>2100</v>
      </c>
      <c r="N17" s="9">
        <f>SUM(P17:AA17)</f>
        <v>1100</v>
      </c>
      <c r="O17" s="11">
        <f t="shared" si="2"/>
        <v>100</v>
      </c>
      <c r="P17" s="11">
        <v>0</v>
      </c>
      <c r="Q17" s="11">
        <v>40</v>
      </c>
      <c r="R17" s="11">
        <v>90</v>
      </c>
      <c r="S17" s="11">
        <v>20</v>
      </c>
      <c r="T17" s="11">
        <v>100</v>
      </c>
      <c r="U17" s="11">
        <v>100</v>
      </c>
      <c r="V17" s="11">
        <v>100</v>
      </c>
      <c r="W17" s="11">
        <v>100</v>
      </c>
      <c r="X17" s="11">
        <v>175</v>
      </c>
      <c r="Y17" s="11">
        <v>175</v>
      </c>
      <c r="Z17" s="11">
        <v>100</v>
      </c>
      <c r="AA17" s="11">
        <v>100</v>
      </c>
      <c r="AB17" s="11"/>
      <c r="AC17" s="11"/>
      <c r="AD17" s="11"/>
      <c r="AE17" s="9"/>
      <c r="AF17" s="9"/>
      <c r="AG17" s="10"/>
      <c r="AH17" s="160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10"/>
      <c r="AT17" s="50"/>
      <c r="AU17" s="50"/>
      <c r="AV17" s="104"/>
      <c r="AW17" s="105"/>
      <c r="AX17" s="104"/>
      <c r="AY17" s="106"/>
      <c r="AZ17" s="104"/>
      <c r="BA17" s="106"/>
      <c r="BB17" s="104"/>
      <c r="BC17" s="106"/>
    </row>
    <row r="18" spans="1:55" s="91" customFormat="1" ht="27" x14ac:dyDescent="0.25">
      <c r="A18" s="4"/>
      <c r="B18" s="5"/>
      <c r="C18" s="5"/>
      <c r="D18" s="5"/>
      <c r="E18" s="5"/>
      <c r="F18" s="5"/>
      <c r="G18" s="6">
        <v>5</v>
      </c>
      <c r="H18" s="55" t="s">
        <v>90</v>
      </c>
      <c r="I18" s="245" t="s">
        <v>34</v>
      </c>
      <c r="J18" s="11">
        <v>2600</v>
      </c>
      <c r="K18" s="11">
        <v>1415</v>
      </c>
      <c r="L18" s="11">
        <v>1415</v>
      </c>
      <c r="M18" s="11">
        <v>2800</v>
      </c>
      <c r="N18" s="9">
        <f>SUM(P18:AA18)</f>
        <v>2420</v>
      </c>
      <c r="O18" s="11">
        <f t="shared" si="2"/>
        <v>380</v>
      </c>
      <c r="P18" s="11">
        <v>0</v>
      </c>
      <c r="Q18" s="11">
        <v>360</v>
      </c>
      <c r="R18" s="11">
        <v>150</v>
      </c>
      <c r="S18" s="11">
        <v>150</v>
      </c>
      <c r="T18" s="11">
        <v>150</v>
      </c>
      <c r="U18" s="11">
        <v>150</v>
      </c>
      <c r="V18" s="11">
        <v>150</v>
      </c>
      <c r="W18" s="11">
        <v>150</v>
      </c>
      <c r="X18" s="11">
        <v>400</v>
      </c>
      <c r="Y18" s="11">
        <v>380</v>
      </c>
      <c r="Z18" s="11">
        <v>0</v>
      </c>
      <c r="AA18" s="11">
        <v>380</v>
      </c>
      <c r="AB18" s="11"/>
      <c r="AC18" s="11"/>
      <c r="AD18" s="11"/>
      <c r="AE18" s="9"/>
      <c r="AF18" s="9"/>
      <c r="AG18" s="10"/>
      <c r="AH18" s="160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10"/>
      <c r="AT18" s="50"/>
      <c r="AU18" s="50"/>
      <c r="AV18" s="104"/>
      <c r="AW18" s="105"/>
      <c r="AX18" s="104"/>
      <c r="AY18" s="105"/>
      <c r="AZ18" s="104"/>
      <c r="BA18" s="105"/>
      <c r="BB18" s="104"/>
      <c r="BC18" s="105"/>
    </row>
    <row r="19" spans="1:55" s="91" customFormat="1" ht="40.5" x14ac:dyDescent="0.25">
      <c r="A19" s="4"/>
      <c r="B19" s="5"/>
      <c r="C19" s="5"/>
      <c r="D19" s="5"/>
      <c r="E19" s="5"/>
      <c r="F19" s="5"/>
      <c r="G19" s="6">
        <v>6</v>
      </c>
      <c r="H19" s="55" t="s">
        <v>93</v>
      </c>
      <c r="I19" s="245" t="s">
        <v>64</v>
      </c>
      <c r="J19" s="11">
        <v>3055</v>
      </c>
      <c r="K19" s="11">
        <v>400</v>
      </c>
      <c r="L19" s="11">
        <v>400</v>
      </c>
      <c r="M19" s="11">
        <v>5400</v>
      </c>
      <c r="N19" s="9">
        <f>SUM(P19:AA19)</f>
        <v>5400</v>
      </c>
      <c r="O19" s="11">
        <f t="shared" si="2"/>
        <v>600</v>
      </c>
      <c r="P19" s="11">
        <v>0</v>
      </c>
      <c r="Q19" s="11">
        <v>200</v>
      </c>
      <c r="R19" s="11">
        <v>100</v>
      </c>
      <c r="S19" s="11">
        <v>100</v>
      </c>
      <c r="T19" s="11">
        <v>0</v>
      </c>
      <c r="U19" s="11">
        <v>0</v>
      </c>
      <c r="V19" s="11">
        <v>0</v>
      </c>
      <c r="W19" s="11">
        <v>0</v>
      </c>
      <c r="X19" s="11">
        <v>2600</v>
      </c>
      <c r="Y19" s="11">
        <v>900</v>
      </c>
      <c r="Z19" s="11">
        <v>900</v>
      </c>
      <c r="AA19" s="11">
        <v>600</v>
      </c>
      <c r="AB19" s="11"/>
      <c r="AC19" s="11"/>
      <c r="AD19" s="11"/>
      <c r="AE19" s="9"/>
      <c r="AF19" s="9"/>
      <c r="AG19" s="10"/>
      <c r="AH19" s="160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10"/>
      <c r="AT19" s="50"/>
      <c r="AU19" s="50"/>
      <c r="AV19" s="104"/>
      <c r="AW19" s="105"/>
      <c r="AX19" s="104"/>
      <c r="AY19" s="106"/>
      <c r="AZ19" s="104"/>
      <c r="BA19" s="106"/>
      <c r="BB19" s="104"/>
      <c r="BC19" s="106"/>
    </row>
    <row r="20" spans="1:55" s="91" customFormat="1" ht="41.25" thickBot="1" x14ac:dyDescent="0.3">
      <c r="A20" s="102"/>
      <c r="B20" s="109"/>
      <c r="C20" s="109"/>
      <c r="D20" s="109"/>
      <c r="E20" s="109"/>
      <c r="F20" s="109"/>
      <c r="G20" s="61">
        <v>8</v>
      </c>
      <c r="H20" s="103" t="s">
        <v>94</v>
      </c>
      <c r="I20" s="251" t="s">
        <v>64</v>
      </c>
      <c r="J20" s="15">
        <v>1000</v>
      </c>
      <c r="K20" s="15">
        <v>500</v>
      </c>
      <c r="L20" s="15">
        <v>500</v>
      </c>
      <c r="M20" s="15">
        <v>924</v>
      </c>
      <c r="N20" s="13">
        <f>SUM(P20:AA20)</f>
        <v>919</v>
      </c>
      <c r="O20" s="11">
        <f t="shared" si="2"/>
        <v>94</v>
      </c>
      <c r="P20" s="15">
        <v>0</v>
      </c>
      <c r="Q20" s="15">
        <v>0</v>
      </c>
      <c r="R20" s="15">
        <v>10</v>
      </c>
      <c r="S20" s="15">
        <v>10</v>
      </c>
      <c r="T20" s="15">
        <v>70</v>
      </c>
      <c r="U20" s="15">
        <v>70</v>
      </c>
      <c r="V20" s="15">
        <v>70</v>
      </c>
      <c r="W20" s="15">
        <v>70</v>
      </c>
      <c r="X20" s="15">
        <v>325</v>
      </c>
      <c r="Y20" s="15">
        <v>100</v>
      </c>
      <c r="Z20" s="15">
        <v>100</v>
      </c>
      <c r="AA20" s="15">
        <v>94</v>
      </c>
      <c r="AB20" s="15"/>
      <c r="AC20" s="15"/>
      <c r="AD20" s="15"/>
      <c r="AE20" s="13"/>
      <c r="AF20" s="13"/>
      <c r="AG20" s="14"/>
      <c r="AH20" s="250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4"/>
      <c r="AT20" s="50"/>
      <c r="AU20" s="50"/>
      <c r="AV20" s="104"/>
      <c r="AW20" s="105"/>
      <c r="AX20" s="104"/>
      <c r="AY20" s="105"/>
      <c r="AZ20" s="104"/>
      <c r="BA20" s="105"/>
      <c r="BB20" s="104"/>
      <c r="BC20" s="105"/>
    </row>
    <row r="21" spans="1:55" s="91" customFormat="1" ht="13.5" x14ac:dyDescent="0.25"/>
    <row r="22" spans="1:55" s="91" customFormat="1" ht="13.5" x14ac:dyDescent="0.25"/>
    <row r="23" spans="1:55" s="91" customFormat="1" ht="13.5" x14ac:dyDescent="0.25"/>
    <row r="24" spans="1:55" s="91" customFormat="1" ht="13.5" x14ac:dyDescent="0.25">
      <c r="H24" s="91" t="s">
        <v>220</v>
      </c>
    </row>
    <row r="25" spans="1:55" s="91" customFormat="1" ht="13.5" x14ac:dyDescent="0.25">
      <c r="H25" s="91" t="s">
        <v>221</v>
      </c>
    </row>
    <row r="26" spans="1:55" s="91" customFormat="1" ht="13.5" x14ac:dyDescent="0.25"/>
    <row r="27" spans="1:55" s="91" customFormat="1" ht="13.5" x14ac:dyDescent="0.25"/>
    <row r="28" spans="1:55" s="91" customFormat="1" ht="13.5" x14ac:dyDescent="0.25"/>
    <row r="29" spans="1:55" s="91" customFormat="1" ht="13.5" x14ac:dyDescent="0.25"/>
    <row r="30" spans="1:55" s="91" customFormat="1" ht="13.5" x14ac:dyDescent="0.25"/>
    <row r="31" spans="1:55" s="91" customFormat="1" ht="13.5" x14ac:dyDescent="0.25"/>
    <row r="32" spans="1:55" s="91" customFormat="1" ht="13.5" x14ac:dyDescent="0.25"/>
    <row r="33" s="91" customFormat="1" ht="13.5" x14ac:dyDescent="0.25"/>
    <row r="34" s="91" customFormat="1" ht="13.5" x14ac:dyDescent="0.25"/>
    <row r="35" s="91" customFormat="1" ht="13.5" x14ac:dyDescent="0.25"/>
  </sheetData>
  <mergeCells count="7">
    <mergeCell ref="AV5:AW5"/>
    <mergeCell ref="AX5:AY5"/>
    <mergeCell ref="AZ5:BA5"/>
    <mergeCell ref="BB5:BC5"/>
    <mergeCell ref="A5:I5"/>
    <mergeCell ref="J5:O5"/>
    <mergeCell ref="AB5:A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BB73"/>
  <sheetViews>
    <sheetView zoomScale="85" zoomScaleNormal="85" workbookViewId="0">
      <pane xSplit="8" ySplit="6" topLeftCell="K16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P1" sqref="AP1:AS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3" width="12.7109375" customWidth="1"/>
    <col min="14" max="14" width="13.7109375" style="324" customWidth="1"/>
    <col min="15" max="15" width="13.7109375" customWidth="1"/>
    <col min="16" max="27" width="13.7109375" hidden="1" customWidth="1"/>
    <col min="28" max="33" width="13.7109375" customWidth="1"/>
    <col min="34" max="45" width="13.7109375" hidden="1" customWidth="1"/>
    <col min="47" max="47" width="12.7109375" customWidth="1"/>
    <col min="48" max="48" width="15.7109375" customWidth="1"/>
    <col min="49" max="49" width="12.7109375" customWidth="1"/>
    <col min="50" max="50" width="15.7109375" customWidth="1"/>
    <col min="51" max="51" width="12.7109375" customWidth="1"/>
    <col min="52" max="52" width="15.7109375" customWidth="1"/>
    <col min="53" max="53" width="12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+'201. DS'!A3</f>
        <v>EJERCICIO FISCAL 2022 - ACTUALIZADA DICIEMBRE</v>
      </c>
    </row>
    <row r="4" spans="1:54" ht="15" customHeight="1" thickBot="1" x14ac:dyDescent="0.3"/>
    <row r="5" spans="1:54" s="111" customFormat="1" x14ac:dyDescent="0.25">
      <c r="A5" s="327" t="s">
        <v>95</v>
      </c>
      <c r="B5" s="328"/>
      <c r="C5" s="328"/>
      <c r="D5" s="328"/>
      <c r="E5" s="328"/>
      <c r="F5" s="328"/>
      <c r="G5" s="328"/>
      <c r="H5" s="328"/>
      <c r="I5" s="331"/>
      <c r="J5" s="332" t="s">
        <v>1</v>
      </c>
      <c r="K5" s="329"/>
      <c r="L5" s="329"/>
      <c r="M5" s="329"/>
      <c r="N5" s="329"/>
      <c r="O5" s="330"/>
      <c r="P5" s="38"/>
      <c r="Q5" s="39"/>
      <c r="R5" s="39"/>
      <c r="S5" s="39"/>
      <c r="T5" s="39"/>
      <c r="U5" s="39"/>
      <c r="V5" s="39"/>
      <c r="W5" s="39"/>
      <c r="X5" s="39"/>
      <c r="Y5" s="39"/>
      <c r="Z5" s="39"/>
      <c r="AA5" s="40"/>
      <c r="AB5" s="332" t="s">
        <v>2</v>
      </c>
      <c r="AC5" s="329"/>
      <c r="AD5" s="329"/>
      <c r="AE5" s="329"/>
      <c r="AF5" s="329"/>
      <c r="AG5" s="330"/>
      <c r="AH5" s="3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U5" s="326" t="s">
        <v>51</v>
      </c>
      <c r="AV5" s="326"/>
      <c r="AW5" s="326" t="s">
        <v>52</v>
      </c>
      <c r="AX5" s="326"/>
      <c r="AY5" s="326" t="s">
        <v>53</v>
      </c>
      <c r="AZ5" s="326"/>
      <c r="BA5" s="326" t="s">
        <v>55</v>
      </c>
      <c r="BB5" s="326"/>
    </row>
    <row r="6" spans="1:54" s="113" customFormat="1" ht="36.75" thickBot="1" x14ac:dyDescent="0.3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67" t="s">
        <v>10</v>
      </c>
      <c r="I6" s="26" t="s">
        <v>11</v>
      </c>
      <c r="J6" s="31" t="s">
        <v>12</v>
      </c>
      <c r="K6" s="27" t="s">
        <v>65</v>
      </c>
      <c r="L6" s="27" t="s">
        <v>13</v>
      </c>
      <c r="M6" s="27" t="s">
        <v>14</v>
      </c>
      <c r="N6" s="302" t="s">
        <v>15</v>
      </c>
      <c r="O6" s="29" t="s">
        <v>16</v>
      </c>
      <c r="P6" s="41" t="s">
        <v>17</v>
      </c>
      <c r="Q6" s="28" t="s">
        <v>18</v>
      </c>
      <c r="R6" s="28" t="s">
        <v>19</v>
      </c>
      <c r="S6" s="28" t="s">
        <v>20</v>
      </c>
      <c r="T6" s="28" t="s">
        <v>21</v>
      </c>
      <c r="U6" s="28" t="s">
        <v>22</v>
      </c>
      <c r="V6" s="28" t="s">
        <v>23</v>
      </c>
      <c r="W6" s="28" t="s">
        <v>24</v>
      </c>
      <c r="X6" s="28" t="s">
        <v>25</v>
      </c>
      <c r="Y6" s="28" t="s">
        <v>26</v>
      </c>
      <c r="Z6" s="28" t="s">
        <v>27</v>
      </c>
      <c r="AA6" s="29" t="s">
        <v>28</v>
      </c>
      <c r="AB6" s="31" t="s">
        <v>12</v>
      </c>
      <c r="AC6" s="27" t="s">
        <v>65</v>
      </c>
      <c r="AD6" s="27" t="s">
        <v>13</v>
      </c>
      <c r="AE6" s="27" t="s">
        <v>14</v>
      </c>
      <c r="AF6" s="28" t="s">
        <v>15</v>
      </c>
      <c r="AG6" s="29" t="s">
        <v>16</v>
      </c>
      <c r="AH6" s="41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U6" s="68" t="s">
        <v>54</v>
      </c>
      <c r="AV6" s="68" t="s">
        <v>2</v>
      </c>
      <c r="AW6" s="68" t="s">
        <v>54</v>
      </c>
      <c r="AX6" s="68" t="s">
        <v>2</v>
      </c>
      <c r="AY6" s="68" t="s">
        <v>54</v>
      </c>
      <c r="AZ6" s="68" t="s">
        <v>2</v>
      </c>
      <c r="BA6" s="68" t="s">
        <v>54</v>
      </c>
      <c r="BB6" s="68" t="s">
        <v>2</v>
      </c>
    </row>
    <row r="7" spans="1:54" s="111" customFormat="1" ht="30" x14ac:dyDescent="0.25">
      <c r="A7" s="173"/>
      <c r="B7" s="97">
        <v>13</v>
      </c>
      <c r="C7" s="97"/>
      <c r="D7" s="97"/>
      <c r="E7" s="174"/>
      <c r="F7" s="174"/>
      <c r="G7" s="174"/>
      <c r="H7" s="175" t="s">
        <v>96</v>
      </c>
      <c r="I7" s="176"/>
      <c r="J7" s="177"/>
      <c r="K7" s="178"/>
      <c r="L7" s="178"/>
      <c r="M7" s="179"/>
      <c r="N7" s="321"/>
      <c r="O7" s="180"/>
      <c r="P7" s="181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80"/>
      <c r="AB7" s="182"/>
      <c r="AC7" s="183"/>
      <c r="AD7" s="183"/>
      <c r="AE7" s="179"/>
      <c r="AF7" s="179"/>
      <c r="AG7" s="180"/>
      <c r="AH7" s="181"/>
      <c r="AI7" s="179"/>
      <c r="AJ7" s="179"/>
      <c r="AK7" s="179"/>
      <c r="AL7" s="179"/>
      <c r="AM7" s="179"/>
      <c r="AN7" s="22"/>
      <c r="AO7" s="22"/>
      <c r="AP7" s="22"/>
      <c r="AQ7" s="22"/>
      <c r="AR7" s="22"/>
      <c r="AS7" s="23"/>
      <c r="AU7" s="119"/>
      <c r="AV7" s="119"/>
      <c r="AW7" s="119"/>
      <c r="AX7" s="119"/>
      <c r="AY7" s="119"/>
      <c r="AZ7" s="119"/>
      <c r="BA7" s="119"/>
      <c r="BB7" s="119"/>
    </row>
    <row r="8" spans="1:54" s="111" customFormat="1" x14ac:dyDescent="0.25">
      <c r="A8" s="184"/>
      <c r="B8" s="93"/>
      <c r="C8" s="93">
        <v>0</v>
      </c>
      <c r="D8" s="93"/>
      <c r="E8" s="96"/>
      <c r="F8" s="96"/>
      <c r="G8" s="96"/>
      <c r="H8" s="172" t="s">
        <v>30</v>
      </c>
      <c r="I8" s="168"/>
      <c r="J8" s="165"/>
      <c r="K8" s="166"/>
      <c r="L8" s="166"/>
      <c r="M8" s="166"/>
      <c r="N8" s="322"/>
      <c r="O8" s="167"/>
      <c r="P8" s="165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7"/>
      <c r="AB8" s="165"/>
      <c r="AC8" s="166"/>
      <c r="AD8" s="166"/>
      <c r="AE8" s="166"/>
      <c r="AF8" s="166"/>
      <c r="AG8" s="167"/>
      <c r="AH8" s="165"/>
      <c r="AI8" s="166"/>
      <c r="AJ8" s="166"/>
      <c r="AK8" s="166"/>
      <c r="AL8" s="166"/>
      <c r="AM8" s="166"/>
      <c r="AN8" s="11"/>
      <c r="AO8" s="11"/>
      <c r="AP8" s="11"/>
      <c r="AQ8" s="11"/>
      <c r="AR8" s="11"/>
      <c r="AS8" s="16"/>
      <c r="AU8" s="119"/>
      <c r="AV8" s="119"/>
      <c r="AW8" s="119"/>
      <c r="AX8" s="119"/>
      <c r="AY8" s="119"/>
      <c r="AZ8" s="119"/>
      <c r="BA8" s="119"/>
      <c r="BB8" s="119"/>
    </row>
    <row r="9" spans="1:54" s="111" customFormat="1" x14ac:dyDescent="0.25">
      <c r="A9" s="184"/>
      <c r="B9" s="93"/>
      <c r="C9" s="93"/>
      <c r="D9" s="93">
        <v>0</v>
      </c>
      <c r="E9" s="96"/>
      <c r="F9" s="96"/>
      <c r="G9" s="96"/>
      <c r="H9" s="339" t="s">
        <v>31</v>
      </c>
      <c r="I9" s="357"/>
      <c r="J9" s="358"/>
      <c r="K9" s="166"/>
      <c r="L9" s="166"/>
      <c r="M9" s="166"/>
      <c r="N9" s="322"/>
      <c r="O9" s="167"/>
      <c r="P9" s="165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7"/>
      <c r="AB9" s="165"/>
      <c r="AC9" s="166"/>
      <c r="AD9" s="166"/>
      <c r="AE9" s="166"/>
      <c r="AF9" s="166"/>
      <c r="AG9" s="167"/>
      <c r="AH9" s="165"/>
      <c r="AI9" s="166"/>
      <c r="AJ9" s="166"/>
      <c r="AK9" s="166"/>
      <c r="AL9" s="166"/>
      <c r="AM9" s="166"/>
      <c r="AN9" s="11"/>
      <c r="AO9" s="11"/>
      <c r="AP9" s="11"/>
      <c r="AQ9" s="11"/>
      <c r="AR9" s="11"/>
      <c r="AS9" s="16"/>
      <c r="AU9" s="119"/>
      <c r="AV9" s="119"/>
      <c r="AW9" s="119"/>
      <c r="AX9" s="119"/>
      <c r="AY9" s="119"/>
      <c r="AZ9" s="119"/>
      <c r="BA9" s="119"/>
      <c r="BB9" s="119"/>
    </row>
    <row r="10" spans="1:54" s="111" customFormat="1" x14ac:dyDescent="0.25">
      <c r="A10" s="184"/>
      <c r="B10" s="93"/>
      <c r="C10" s="93"/>
      <c r="D10" s="93"/>
      <c r="E10" s="96">
        <v>1</v>
      </c>
      <c r="F10" s="96">
        <v>0</v>
      </c>
      <c r="G10" s="96"/>
      <c r="H10" s="339" t="s">
        <v>59</v>
      </c>
      <c r="I10" s="357"/>
      <c r="J10" s="358"/>
      <c r="K10" s="166"/>
      <c r="L10" s="166"/>
      <c r="M10" s="166"/>
      <c r="N10" s="322"/>
      <c r="O10" s="167"/>
      <c r="P10" s="165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7"/>
      <c r="AB10" s="169">
        <v>237118162.99000001</v>
      </c>
      <c r="AC10" s="170">
        <v>138666549</v>
      </c>
      <c r="AD10" s="170">
        <v>145596549</v>
      </c>
      <c r="AE10" s="170">
        <v>137588070</v>
      </c>
      <c r="AF10" s="170">
        <f>106445431.23+AG10+AR10</f>
        <v>132553885.90000001</v>
      </c>
      <c r="AG10" s="170">
        <f>+AS10</f>
        <v>19176908.350000001</v>
      </c>
      <c r="AH10" s="169">
        <v>6181760.2999999998</v>
      </c>
      <c r="AI10" s="170">
        <v>6142695.3300000001</v>
      </c>
      <c r="AJ10" s="170">
        <v>6525907.1500000004</v>
      </c>
      <c r="AK10" s="170">
        <v>6990492.71</v>
      </c>
      <c r="AL10" s="170">
        <v>22953446.91</v>
      </c>
      <c r="AM10" s="170">
        <v>23222201.510000002</v>
      </c>
      <c r="AN10" s="9">
        <v>48642702.93</v>
      </c>
      <c r="AO10" s="9">
        <v>2233383.5499999998</v>
      </c>
      <c r="AP10" s="9">
        <v>1902548.6</v>
      </c>
      <c r="AQ10" s="9">
        <v>7265728.0800000001</v>
      </c>
      <c r="AR10" s="9">
        <v>6931546.3200000003</v>
      </c>
      <c r="AS10" s="192">
        <v>19176908.350000001</v>
      </c>
      <c r="AU10" s="119"/>
      <c r="AV10" s="119"/>
      <c r="AW10" s="119"/>
      <c r="AX10" s="119"/>
      <c r="AY10" s="119"/>
      <c r="AZ10" s="119"/>
      <c r="BA10" s="119"/>
      <c r="BB10" s="119"/>
    </row>
    <row r="11" spans="1:54" s="111" customFormat="1" x14ac:dyDescent="0.25">
      <c r="A11" s="184">
        <v>4</v>
      </c>
      <c r="B11" s="93"/>
      <c r="C11" s="93"/>
      <c r="D11" s="93"/>
      <c r="E11" s="93"/>
      <c r="F11" s="93"/>
      <c r="G11" s="93">
        <v>1</v>
      </c>
      <c r="H11" s="339" t="s">
        <v>60</v>
      </c>
      <c r="I11" s="359" t="s">
        <v>34</v>
      </c>
      <c r="J11" s="360">
        <f>J12</f>
        <v>1220</v>
      </c>
      <c r="K11" s="170">
        <f t="shared" ref="K11:X11" si="0">K12</f>
        <v>700</v>
      </c>
      <c r="L11" s="170">
        <f t="shared" si="0"/>
        <v>700</v>
      </c>
      <c r="M11" s="170">
        <v>1608</v>
      </c>
      <c r="N11" s="323">
        <f>N12</f>
        <v>1502</v>
      </c>
      <c r="O11" s="170">
        <f>+AA11</f>
        <v>21</v>
      </c>
      <c r="P11" s="169">
        <f t="shared" si="0"/>
        <v>0</v>
      </c>
      <c r="Q11" s="170">
        <f t="shared" si="0"/>
        <v>734</v>
      </c>
      <c r="R11" s="170">
        <f t="shared" si="0"/>
        <v>24</v>
      </c>
      <c r="S11" s="170">
        <f t="shared" si="0"/>
        <v>11</v>
      </c>
      <c r="T11" s="170">
        <f t="shared" si="0"/>
        <v>24</v>
      </c>
      <c r="U11" s="170">
        <f>U12</f>
        <v>24</v>
      </c>
      <c r="V11" s="170">
        <f t="shared" si="0"/>
        <v>0</v>
      </c>
      <c r="W11" s="170">
        <f t="shared" si="0"/>
        <v>24</v>
      </c>
      <c r="X11" s="170">
        <f t="shared" si="0"/>
        <v>36</v>
      </c>
      <c r="Y11" s="170">
        <v>22</v>
      </c>
      <c r="Z11" s="170">
        <v>582</v>
      </c>
      <c r="AA11" s="171">
        <v>21</v>
      </c>
      <c r="AB11" s="165"/>
      <c r="AC11" s="166"/>
      <c r="AD11" s="166"/>
      <c r="AE11" s="166"/>
      <c r="AF11" s="170"/>
      <c r="AG11" s="170"/>
      <c r="AH11" s="169"/>
      <c r="AI11" s="170"/>
      <c r="AJ11" s="170"/>
      <c r="AK11" s="170"/>
      <c r="AL11" s="170"/>
      <c r="AM11" s="170"/>
      <c r="AN11" s="9"/>
      <c r="AO11" s="9"/>
      <c r="AP11" s="9"/>
      <c r="AQ11" s="9"/>
      <c r="AR11" s="9"/>
      <c r="AS11" s="10"/>
      <c r="AU11" s="120">
        <v>1281</v>
      </c>
      <c r="AV11" s="120">
        <v>240674935.43484998</v>
      </c>
      <c r="AW11" s="120">
        <v>1345.0500000000002</v>
      </c>
      <c r="AX11" s="120">
        <v>244285059.46637273</v>
      </c>
      <c r="AY11" s="120">
        <v>1412.3025</v>
      </c>
      <c r="AZ11" s="120">
        <v>247949335.35836834</v>
      </c>
      <c r="BA11" s="120">
        <v>1482.917625</v>
      </c>
      <c r="BB11" s="120">
        <v>251668575.38874388</v>
      </c>
    </row>
    <row r="12" spans="1:54" s="111" customFormat="1" x14ac:dyDescent="0.25">
      <c r="A12" s="184"/>
      <c r="B12" s="93"/>
      <c r="C12" s="93"/>
      <c r="D12" s="93"/>
      <c r="E12" s="96"/>
      <c r="F12" s="96"/>
      <c r="G12" s="96">
        <v>2</v>
      </c>
      <c r="H12" s="350" t="s">
        <v>60</v>
      </c>
      <c r="I12" s="357" t="s">
        <v>34</v>
      </c>
      <c r="J12" s="358">
        <v>1220</v>
      </c>
      <c r="K12" s="166">
        <v>700</v>
      </c>
      <c r="L12" s="166">
        <v>700</v>
      </c>
      <c r="M12" s="166">
        <v>1608</v>
      </c>
      <c r="N12" s="322">
        <f>+SUM(P12:AA12)</f>
        <v>1502</v>
      </c>
      <c r="O12" s="170">
        <f>+AA12</f>
        <v>21</v>
      </c>
      <c r="P12" s="165">
        <v>0</v>
      </c>
      <c r="Q12" s="166">
        <v>734</v>
      </c>
      <c r="R12" s="166">
        <v>24</v>
      </c>
      <c r="S12" s="166">
        <v>11</v>
      </c>
      <c r="T12" s="166">
        <v>24</v>
      </c>
      <c r="U12" s="166">
        <v>24</v>
      </c>
      <c r="V12" s="166">
        <v>0</v>
      </c>
      <c r="W12" s="166">
        <v>24</v>
      </c>
      <c r="X12" s="166">
        <v>36</v>
      </c>
      <c r="Y12" s="166">
        <v>22</v>
      </c>
      <c r="Z12" s="166">
        <v>582</v>
      </c>
      <c r="AA12" s="167">
        <v>21</v>
      </c>
      <c r="AB12" s="165"/>
      <c r="AC12" s="166"/>
      <c r="AD12" s="166"/>
      <c r="AE12" s="166"/>
      <c r="AF12" s="170"/>
      <c r="AG12" s="170"/>
      <c r="AH12" s="169"/>
      <c r="AI12" s="170"/>
      <c r="AJ12" s="170"/>
      <c r="AK12" s="170"/>
      <c r="AL12" s="170"/>
      <c r="AM12" s="170"/>
      <c r="AN12" s="9"/>
      <c r="AO12" s="9"/>
      <c r="AP12" s="9"/>
      <c r="AQ12" s="9"/>
      <c r="AR12" s="9"/>
      <c r="AS12" s="10"/>
      <c r="AU12" s="119"/>
      <c r="AV12" s="119"/>
      <c r="AW12" s="119"/>
      <c r="AX12" s="119"/>
      <c r="AY12" s="119"/>
      <c r="AZ12" s="119"/>
      <c r="BA12" s="119"/>
      <c r="BB12" s="119"/>
    </row>
    <row r="13" spans="1:54" s="111" customFormat="1" x14ac:dyDescent="0.25">
      <c r="A13" s="184"/>
      <c r="B13" s="93"/>
      <c r="C13" s="93"/>
      <c r="D13" s="93"/>
      <c r="E13" s="93">
        <v>2</v>
      </c>
      <c r="F13" s="93">
        <v>0</v>
      </c>
      <c r="G13" s="93"/>
      <c r="H13" s="339" t="s">
        <v>97</v>
      </c>
      <c r="I13" s="359"/>
      <c r="J13" s="360"/>
      <c r="K13" s="170"/>
      <c r="L13" s="170"/>
      <c r="M13" s="170"/>
      <c r="N13" s="323"/>
      <c r="O13" s="170"/>
      <c r="P13" s="169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1"/>
      <c r="AB13" s="169">
        <v>87600000</v>
      </c>
      <c r="AC13" s="170">
        <v>20029540</v>
      </c>
      <c r="AD13" s="170">
        <v>20029540</v>
      </c>
      <c r="AE13" s="170">
        <v>31677315</v>
      </c>
      <c r="AF13" s="170">
        <f>18522098.29+AG13+AR13</f>
        <v>26673074.119999997</v>
      </c>
      <c r="AG13" s="170">
        <f>+AS13</f>
        <v>5551129.9000000004</v>
      </c>
      <c r="AH13" s="169">
        <v>1579583.56</v>
      </c>
      <c r="AI13" s="170">
        <v>1451665.63</v>
      </c>
      <c r="AJ13" s="170">
        <v>1426285.39</v>
      </c>
      <c r="AK13" s="170">
        <v>1456183.57</v>
      </c>
      <c r="AL13" s="170">
        <v>1538826.68</v>
      </c>
      <c r="AM13" s="170">
        <v>1285920.33</v>
      </c>
      <c r="AN13" s="9">
        <v>2872269.7</v>
      </c>
      <c r="AO13" s="9">
        <v>566724.68999999994</v>
      </c>
      <c r="AP13" s="9">
        <v>604031.81999999995</v>
      </c>
      <c r="AQ13" s="9">
        <v>2821746.87</v>
      </c>
      <c r="AR13" s="9">
        <v>2599845.9300000002</v>
      </c>
      <c r="AS13" s="192">
        <v>5551129.9000000004</v>
      </c>
      <c r="AU13" s="119"/>
      <c r="AV13" s="119"/>
      <c r="AW13" s="119"/>
      <c r="AX13" s="119"/>
      <c r="AY13" s="119"/>
      <c r="AZ13" s="119"/>
      <c r="BA13" s="119"/>
      <c r="BB13" s="119"/>
    </row>
    <row r="14" spans="1:54" s="111" customFormat="1" x14ac:dyDescent="0.25">
      <c r="A14" s="184">
        <v>4</v>
      </c>
      <c r="B14" s="93"/>
      <c r="C14" s="93"/>
      <c r="D14" s="93"/>
      <c r="E14" s="93"/>
      <c r="F14" s="93"/>
      <c r="G14" s="93">
        <v>1</v>
      </c>
      <c r="H14" s="339" t="s">
        <v>98</v>
      </c>
      <c r="I14" s="359" t="s">
        <v>99</v>
      </c>
      <c r="J14" s="360">
        <f>+J19+J20+J21</f>
        <v>6996</v>
      </c>
      <c r="K14" s="170">
        <f>+K19+K20+K21</f>
        <v>4619</v>
      </c>
      <c r="L14" s="170">
        <f>+L19+L20+L21</f>
        <v>4619</v>
      </c>
      <c r="M14" s="170">
        <v>5561</v>
      </c>
      <c r="N14" s="323">
        <f>3702+O14+Z14</f>
        <v>4384</v>
      </c>
      <c r="O14" s="170">
        <f t="shared" ref="O14:O21" si="1">+AA14</f>
        <v>316</v>
      </c>
      <c r="P14" s="169">
        <f>SUM(P19:P21)</f>
        <v>0</v>
      </c>
      <c r="Q14" s="170">
        <f>SUM(Q19:Q21)</f>
        <v>902</v>
      </c>
      <c r="R14" s="170">
        <f>SUM(R19:R21)</f>
        <v>456</v>
      </c>
      <c r="S14" s="170">
        <f t="shared" ref="S14:T14" si="2">SUM(S19:S21)</f>
        <v>455</v>
      </c>
      <c r="T14" s="170">
        <f t="shared" si="2"/>
        <v>446</v>
      </c>
      <c r="U14" s="170">
        <v>435</v>
      </c>
      <c r="V14" s="170">
        <f>SUM(V19:V21)</f>
        <v>382</v>
      </c>
      <c r="W14" s="170">
        <v>377</v>
      </c>
      <c r="X14" s="170">
        <v>322</v>
      </c>
      <c r="Y14" s="170">
        <v>309</v>
      </c>
      <c r="Z14" s="170">
        <v>366</v>
      </c>
      <c r="AA14" s="171">
        <v>316</v>
      </c>
      <c r="AB14" s="165"/>
      <c r="AC14" s="166"/>
      <c r="AD14" s="166"/>
      <c r="AE14" s="166"/>
      <c r="AF14" s="170"/>
      <c r="AG14" s="170"/>
      <c r="AH14" s="169"/>
      <c r="AI14" s="170"/>
      <c r="AJ14" s="170"/>
      <c r="AK14" s="170"/>
      <c r="AL14" s="170"/>
      <c r="AM14" s="170"/>
      <c r="AN14" s="9"/>
      <c r="AO14" s="9"/>
      <c r="AP14" s="9"/>
      <c r="AQ14" s="9"/>
      <c r="AR14" s="9"/>
      <c r="AS14" s="10"/>
      <c r="AU14" s="120">
        <v>7350</v>
      </c>
      <c r="AV14" s="120">
        <v>88914000</v>
      </c>
      <c r="AW14" s="120">
        <v>7717</v>
      </c>
      <c r="AX14" s="120">
        <v>90247710</v>
      </c>
      <c r="AY14" s="120">
        <v>8103</v>
      </c>
      <c r="AZ14" s="120">
        <v>91601425.649999991</v>
      </c>
      <c r="BA14" s="120">
        <v>8509</v>
      </c>
      <c r="BB14" s="120">
        <v>92975447.03475</v>
      </c>
    </row>
    <row r="15" spans="1:54" s="111" customFormat="1" ht="27" x14ac:dyDescent="0.25">
      <c r="A15" s="184"/>
      <c r="B15" s="93"/>
      <c r="C15" s="93"/>
      <c r="D15" s="93"/>
      <c r="E15" s="96"/>
      <c r="F15" s="96"/>
      <c r="G15" s="96">
        <v>2</v>
      </c>
      <c r="H15" s="350" t="s">
        <v>100</v>
      </c>
      <c r="I15" s="357" t="s">
        <v>101</v>
      </c>
      <c r="J15" s="358">
        <v>1491288</v>
      </c>
      <c r="K15" s="166">
        <v>970291</v>
      </c>
      <c r="L15" s="166">
        <v>970271</v>
      </c>
      <c r="M15" s="166">
        <v>1170673</v>
      </c>
      <c r="N15" s="322">
        <f>841962+O15+Z15</f>
        <v>1129307</v>
      </c>
      <c r="O15" s="170">
        <f t="shared" si="1"/>
        <v>176702</v>
      </c>
      <c r="P15" s="165">
        <v>0</v>
      </c>
      <c r="Q15" s="166">
        <v>165383</v>
      </c>
      <c r="R15" s="166">
        <v>82834</v>
      </c>
      <c r="S15" s="166">
        <v>82855</v>
      </c>
      <c r="T15" s="166">
        <v>82845</v>
      </c>
      <c r="U15" s="166">
        <v>82836</v>
      </c>
      <c r="V15" s="166">
        <v>79216</v>
      </c>
      <c r="W15" s="166">
        <v>82855</v>
      </c>
      <c r="X15" s="166">
        <v>99712</v>
      </c>
      <c r="Y15" s="166">
        <v>82128</v>
      </c>
      <c r="Z15" s="166">
        <v>110643</v>
      </c>
      <c r="AA15" s="167">
        <v>176702</v>
      </c>
      <c r="AB15" s="165"/>
      <c r="AC15" s="166"/>
      <c r="AD15" s="166"/>
      <c r="AE15" s="166"/>
      <c r="AF15" s="170"/>
      <c r="AG15" s="170"/>
      <c r="AH15" s="169"/>
      <c r="AI15" s="170"/>
      <c r="AJ15" s="170"/>
      <c r="AK15" s="170"/>
      <c r="AL15" s="170"/>
      <c r="AM15" s="170"/>
      <c r="AN15" s="9"/>
      <c r="AO15" s="9"/>
      <c r="AP15" s="9"/>
      <c r="AQ15" s="9"/>
      <c r="AR15" s="9"/>
      <c r="AS15" s="10"/>
      <c r="AU15" s="119"/>
      <c r="AV15" s="119"/>
      <c r="AW15" s="119"/>
      <c r="AX15" s="119"/>
      <c r="AY15" s="119"/>
      <c r="AZ15" s="119"/>
      <c r="BA15" s="119"/>
      <c r="BB15" s="119"/>
    </row>
    <row r="16" spans="1:54" s="111" customFormat="1" ht="27" x14ac:dyDescent="0.25">
      <c r="A16" s="184"/>
      <c r="B16" s="93"/>
      <c r="C16" s="93"/>
      <c r="D16" s="93"/>
      <c r="E16" s="96"/>
      <c r="F16" s="96"/>
      <c r="G16" s="96">
        <v>3</v>
      </c>
      <c r="H16" s="350" t="s">
        <v>102</v>
      </c>
      <c r="I16" s="357" t="s">
        <v>101</v>
      </c>
      <c r="J16" s="358">
        <v>1475112</v>
      </c>
      <c r="K16" s="166">
        <v>973574</v>
      </c>
      <c r="L16" s="166">
        <v>973574</v>
      </c>
      <c r="M16" s="166">
        <v>1161669</v>
      </c>
      <c r="N16" s="322">
        <f>857332+O16+Z16</f>
        <v>1126179</v>
      </c>
      <c r="O16" s="170">
        <f t="shared" si="1"/>
        <v>157949</v>
      </c>
      <c r="P16" s="165">
        <v>0</v>
      </c>
      <c r="Q16" s="166">
        <v>167297</v>
      </c>
      <c r="R16" s="166">
        <v>83713</v>
      </c>
      <c r="S16" s="166">
        <v>83713</v>
      </c>
      <c r="T16" s="166">
        <v>83713</v>
      </c>
      <c r="U16" s="166">
        <v>83713</v>
      </c>
      <c r="V16" s="166">
        <v>80881</v>
      </c>
      <c r="W16" s="166">
        <v>83713</v>
      </c>
      <c r="X16" s="166">
        <v>107034</v>
      </c>
      <c r="Y16" s="166">
        <v>83072</v>
      </c>
      <c r="Z16" s="166">
        <v>110898</v>
      </c>
      <c r="AA16" s="167">
        <v>157949</v>
      </c>
      <c r="AB16" s="165"/>
      <c r="AC16" s="166"/>
      <c r="AD16" s="166"/>
      <c r="AE16" s="166"/>
      <c r="AF16" s="170"/>
      <c r="AG16" s="170"/>
      <c r="AH16" s="169"/>
      <c r="AI16" s="170"/>
      <c r="AJ16" s="170"/>
      <c r="AK16" s="170"/>
      <c r="AL16" s="170"/>
      <c r="AM16" s="170"/>
      <c r="AN16" s="9"/>
      <c r="AO16" s="9"/>
      <c r="AP16" s="9"/>
      <c r="AQ16" s="9"/>
      <c r="AR16" s="9"/>
      <c r="AS16" s="10"/>
      <c r="AU16" s="119"/>
      <c r="AV16" s="119"/>
      <c r="AW16" s="119"/>
      <c r="AX16" s="119"/>
      <c r="AY16" s="119"/>
      <c r="AZ16" s="119"/>
      <c r="BA16" s="119"/>
      <c r="BB16" s="119"/>
    </row>
    <row r="17" spans="1:54" s="111" customFormat="1" x14ac:dyDescent="0.25">
      <c r="A17" s="184"/>
      <c r="B17" s="93"/>
      <c r="C17" s="93"/>
      <c r="D17" s="93"/>
      <c r="E17" s="96"/>
      <c r="F17" s="96"/>
      <c r="G17" s="96">
        <v>4</v>
      </c>
      <c r="H17" s="350" t="s">
        <v>103</v>
      </c>
      <c r="I17" s="357" t="s">
        <v>104</v>
      </c>
      <c r="J17" s="358">
        <v>34559016</v>
      </c>
      <c r="K17" s="166">
        <v>22808951</v>
      </c>
      <c r="L17" s="166">
        <v>22808951</v>
      </c>
      <c r="M17" s="166">
        <v>33233244</v>
      </c>
      <c r="N17" s="322">
        <f>+SUM(P17:AA17)</f>
        <v>30425868</v>
      </c>
      <c r="O17" s="170">
        <f t="shared" si="1"/>
        <v>2693439</v>
      </c>
      <c r="P17" s="165">
        <v>0</v>
      </c>
      <c r="Q17" s="166">
        <v>4378289</v>
      </c>
      <c r="R17" s="166">
        <v>2354665</v>
      </c>
      <c r="S17" s="166">
        <v>2404011</v>
      </c>
      <c r="T17" s="166">
        <v>2671160</v>
      </c>
      <c r="U17" s="166">
        <v>2319150</v>
      </c>
      <c r="V17" s="166">
        <v>2593232</v>
      </c>
      <c r="W17" s="166">
        <v>2775745</v>
      </c>
      <c r="X17" s="166">
        <v>2733271</v>
      </c>
      <c r="Y17" s="166">
        <v>2775745</v>
      </c>
      <c r="Z17" s="166">
        <v>2727161</v>
      </c>
      <c r="AA17" s="167">
        <v>2693439</v>
      </c>
      <c r="AB17" s="165"/>
      <c r="AC17" s="166"/>
      <c r="AD17" s="166"/>
      <c r="AE17" s="166"/>
      <c r="AF17" s="170"/>
      <c r="AG17" s="170"/>
      <c r="AH17" s="169"/>
      <c r="AI17" s="170"/>
      <c r="AJ17" s="170"/>
      <c r="AK17" s="170"/>
      <c r="AL17" s="170"/>
      <c r="AM17" s="170"/>
      <c r="AN17" s="9"/>
      <c r="AO17" s="9"/>
      <c r="AP17" s="9"/>
      <c r="AQ17" s="9"/>
      <c r="AR17" s="9"/>
      <c r="AS17" s="10"/>
      <c r="AU17" s="119"/>
      <c r="AV17" s="119"/>
      <c r="AW17" s="119"/>
      <c r="AX17" s="119"/>
      <c r="AY17" s="119"/>
      <c r="AZ17" s="119"/>
      <c r="BA17" s="119"/>
      <c r="BB17" s="119"/>
    </row>
    <row r="18" spans="1:54" s="111" customFormat="1" x14ac:dyDescent="0.25">
      <c r="A18" s="184"/>
      <c r="B18" s="93"/>
      <c r="C18" s="93"/>
      <c r="D18" s="93"/>
      <c r="E18" s="96"/>
      <c r="F18" s="96"/>
      <c r="G18" s="96">
        <v>5</v>
      </c>
      <c r="H18" s="350" t="s">
        <v>105</v>
      </c>
      <c r="I18" s="357" t="s">
        <v>104</v>
      </c>
      <c r="J18" s="358">
        <v>24612732</v>
      </c>
      <c r="K18" s="166">
        <v>16244403</v>
      </c>
      <c r="L18" s="166">
        <v>16244403</v>
      </c>
      <c r="M18" s="166">
        <v>23795185</v>
      </c>
      <c r="N18" s="322">
        <f>+SUM(P18:AA18)</f>
        <v>23537654</v>
      </c>
      <c r="O18" s="170">
        <f t="shared" si="1"/>
        <v>2083523</v>
      </c>
      <c r="P18" s="165">
        <v>0</v>
      </c>
      <c r="Q18" s="166">
        <v>3957400</v>
      </c>
      <c r="R18" s="166">
        <v>1978700</v>
      </c>
      <c r="S18" s="166">
        <v>1978700</v>
      </c>
      <c r="T18" s="166">
        <v>1721048</v>
      </c>
      <c r="U18" s="166">
        <v>1809098</v>
      </c>
      <c r="V18" s="166">
        <v>1978700</v>
      </c>
      <c r="W18" s="166">
        <v>1903072</v>
      </c>
      <c r="X18" s="166">
        <v>1922801</v>
      </c>
      <c r="Y18" s="166">
        <v>1978700</v>
      </c>
      <c r="Z18" s="166">
        <v>2225912</v>
      </c>
      <c r="AA18" s="167">
        <v>2083523</v>
      </c>
      <c r="AB18" s="165"/>
      <c r="AC18" s="166"/>
      <c r="AD18" s="166"/>
      <c r="AE18" s="166"/>
      <c r="AF18" s="170"/>
      <c r="AG18" s="170"/>
      <c r="AH18" s="169"/>
      <c r="AI18" s="170"/>
      <c r="AJ18" s="170"/>
      <c r="AK18" s="170"/>
      <c r="AL18" s="170"/>
      <c r="AM18" s="170"/>
      <c r="AN18" s="9"/>
      <c r="AO18" s="9"/>
      <c r="AP18" s="9"/>
      <c r="AQ18" s="9"/>
      <c r="AR18" s="9"/>
      <c r="AS18" s="10"/>
      <c r="AU18" s="119"/>
      <c r="AV18" s="119"/>
      <c r="AW18" s="119"/>
      <c r="AX18" s="119"/>
      <c r="AY18" s="119"/>
      <c r="AZ18" s="119"/>
      <c r="BA18" s="119"/>
      <c r="BB18" s="119"/>
    </row>
    <row r="19" spans="1:54" s="111" customFormat="1" x14ac:dyDescent="0.25">
      <c r="A19" s="184"/>
      <c r="B19" s="96"/>
      <c r="C19" s="96"/>
      <c r="D19" s="96"/>
      <c r="E19" s="96"/>
      <c r="F19" s="96"/>
      <c r="G19" s="96">
        <v>6</v>
      </c>
      <c r="H19" s="350" t="s">
        <v>106</v>
      </c>
      <c r="I19" s="357" t="s">
        <v>99</v>
      </c>
      <c r="J19" s="358">
        <v>516</v>
      </c>
      <c r="K19" s="166">
        <v>341</v>
      </c>
      <c r="L19" s="166">
        <v>341</v>
      </c>
      <c r="M19" s="166">
        <v>530</v>
      </c>
      <c r="N19" s="322">
        <f>+SUM(P19:AA19)</f>
        <v>464</v>
      </c>
      <c r="O19" s="170">
        <f t="shared" si="1"/>
        <v>62</v>
      </c>
      <c r="P19" s="165">
        <v>0</v>
      </c>
      <c r="Q19" s="166">
        <v>66</v>
      </c>
      <c r="R19" s="166">
        <v>38</v>
      </c>
      <c r="S19" s="166">
        <v>37</v>
      </c>
      <c r="T19" s="166">
        <v>28</v>
      </c>
      <c r="U19" s="166">
        <v>35</v>
      </c>
      <c r="V19" s="166">
        <v>38</v>
      </c>
      <c r="W19" s="166">
        <v>38</v>
      </c>
      <c r="X19" s="166">
        <v>35</v>
      </c>
      <c r="Y19" s="166">
        <v>38</v>
      </c>
      <c r="Z19" s="166">
        <v>49</v>
      </c>
      <c r="AA19" s="167">
        <v>62</v>
      </c>
      <c r="AB19" s="165"/>
      <c r="AC19" s="166"/>
      <c r="AD19" s="166"/>
      <c r="AE19" s="166"/>
      <c r="AF19" s="170"/>
      <c r="AG19" s="170"/>
      <c r="AH19" s="169"/>
      <c r="AI19" s="170"/>
      <c r="AJ19" s="170"/>
      <c r="AK19" s="170"/>
      <c r="AL19" s="170"/>
      <c r="AM19" s="170"/>
      <c r="AN19" s="9"/>
      <c r="AO19" s="9"/>
      <c r="AP19" s="9"/>
      <c r="AQ19" s="9"/>
      <c r="AR19" s="9"/>
      <c r="AS19" s="10"/>
      <c r="AU19" s="119"/>
      <c r="AV19" s="119"/>
      <c r="AW19" s="119"/>
      <c r="AX19" s="119"/>
      <c r="AY19" s="119"/>
      <c r="AZ19" s="119"/>
      <c r="BA19" s="119"/>
      <c r="BB19" s="119"/>
    </row>
    <row r="20" spans="1:54" s="111" customFormat="1" ht="27" x14ac:dyDescent="0.25">
      <c r="A20" s="184"/>
      <c r="B20" s="96"/>
      <c r="C20" s="96"/>
      <c r="D20" s="96"/>
      <c r="E20" s="96"/>
      <c r="F20" s="96"/>
      <c r="G20" s="96">
        <v>7</v>
      </c>
      <c r="H20" s="350" t="s">
        <v>107</v>
      </c>
      <c r="I20" s="357" t="s">
        <v>99</v>
      </c>
      <c r="J20" s="358">
        <v>168</v>
      </c>
      <c r="K20" s="166">
        <v>111</v>
      </c>
      <c r="L20" s="166">
        <v>111</v>
      </c>
      <c r="M20" s="166">
        <v>161</v>
      </c>
      <c r="N20" s="322">
        <f>+SUM(P20:AA20)</f>
        <v>153</v>
      </c>
      <c r="O20" s="170">
        <f t="shared" si="1"/>
        <v>7</v>
      </c>
      <c r="P20" s="165">
        <v>0</v>
      </c>
      <c r="Q20" s="166">
        <v>26</v>
      </c>
      <c r="R20" s="166">
        <v>13</v>
      </c>
      <c r="S20" s="166">
        <v>13</v>
      </c>
      <c r="T20" s="166">
        <v>13</v>
      </c>
      <c r="U20" s="166">
        <v>13</v>
      </c>
      <c r="V20" s="166">
        <v>13</v>
      </c>
      <c r="W20" s="166">
        <v>11</v>
      </c>
      <c r="X20" s="166">
        <v>14</v>
      </c>
      <c r="Y20" s="166">
        <v>13</v>
      </c>
      <c r="Z20" s="166">
        <v>17</v>
      </c>
      <c r="AA20" s="167">
        <v>7</v>
      </c>
      <c r="AB20" s="165"/>
      <c r="AC20" s="166"/>
      <c r="AD20" s="166"/>
      <c r="AE20" s="166"/>
      <c r="AF20" s="170"/>
      <c r="AG20" s="170"/>
      <c r="AH20" s="169"/>
      <c r="AI20" s="170"/>
      <c r="AJ20" s="170"/>
      <c r="AK20" s="170"/>
      <c r="AL20" s="170"/>
      <c r="AM20" s="170"/>
      <c r="AN20" s="9"/>
      <c r="AO20" s="9"/>
      <c r="AP20" s="9"/>
      <c r="AQ20" s="9"/>
      <c r="AR20" s="9"/>
      <c r="AS20" s="10"/>
      <c r="AU20" s="119"/>
      <c r="AV20" s="119"/>
      <c r="AW20" s="119"/>
      <c r="AX20" s="119"/>
      <c r="AY20" s="119"/>
      <c r="AZ20" s="119"/>
      <c r="BA20" s="119"/>
      <c r="BB20" s="119"/>
    </row>
    <row r="21" spans="1:54" s="111" customFormat="1" ht="27" x14ac:dyDescent="0.25">
      <c r="A21" s="184"/>
      <c r="B21" s="96"/>
      <c r="C21" s="96"/>
      <c r="D21" s="96"/>
      <c r="E21" s="96"/>
      <c r="F21" s="96"/>
      <c r="G21" s="96">
        <v>8</v>
      </c>
      <c r="H21" s="350" t="s">
        <v>108</v>
      </c>
      <c r="I21" s="357" t="s">
        <v>99</v>
      </c>
      <c r="J21" s="358">
        <v>6312</v>
      </c>
      <c r="K21" s="166">
        <v>4167</v>
      </c>
      <c r="L21" s="166">
        <v>4167</v>
      </c>
      <c r="M21" s="166">
        <v>4870</v>
      </c>
      <c r="N21" s="322">
        <f>+SUM(P21:AA21)</f>
        <v>4142</v>
      </c>
      <c r="O21" s="170">
        <f t="shared" si="1"/>
        <v>247</v>
      </c>
      <c r="P21" s="165">
        <v>0</v>
      </c>
      <c r="Q21" s="166">
        <v>810</v>
      </c>
      <c r="R21" s="166">
        <v>405</v>
      </c>
      <c r="S21" s="166">
        <v>405</v>
      </c>
      <c r="T21" s="166">
        <v>405</v>
      </c>
      <c r="U21" s="166">
        <v>387</v>
      </c>
      <c r="V21" s="166">
        <v>331</v>
      </c>
      <c r="W21" s="166">
        <v>321</v>
      </c>
      <c r="X21" s="166">
        <v>273</v>
      </c>
      <c r="Y21" s="166">
        <v>258</v>
      </c>
      <c r="Z21" s="166">
        <v>300</v>
      </c>
      <c r="AA21" s="167">
        <v>247</v>
      </c>
      <c r="AB21" s="165"/>
      <c r="AC21" s="166"/>
      <c r="AD21" s="166"/>
      <c r="AE21" s="166"/>
      <c r="AF21" s="170"/>
      <c r="AG21" s="170"/>
      <c r="AH21" s="169"/>
      <c r="AI21" s="170"/>
      <c r="AJ21" s="170"/>
      <c r="AK21" s="170"/>
      <c r="AL21" s="170"/>
      <c r="AM21" s="170"/>
      <c r="AN21" s="9"/>
      <c r="AO21" s="9"/>
      <c r="AP21" s="9"/>
      <c r="AQ21" s="9"/>
      <c r="AR21" s="9"/>
      <c r="AS21" s="10"/>
      <c r="AU21" s="119"/>
      <c r="AV21" s="119"/>
      <c r="AW21" s="119"/>
      <c r="AX21" s="119"/>
      <c r="AY21" s="119"/>
      <c r="AZ21" s="119"/>
      <c r="BA21" s="119"/>
      <c r="BB21" s="119"/>
    </row>
    <row r="22" spans="1:54" s="111" customFormat="1" x14ac:dyDescent="0.25">
      <c r="A22" s="184"/>
      <c r="B22" s="93"/>
      <c r="C22" s="93"/>
      <c r="D22" s="93"/>
      <c r="E22" s="93">
        <v>3</v>
      </c>
      <c r="F22" s="93">
        <v>0</v>
      </c>
      <c r="G22" s="93"/>
      <c r="H22" s="339" t="s">
        <v>109</v>
      </c>
      <c r="I22" s="359"/>
      <c r="J22" s="360"/>
      <c r="K22" s="170"/>
      <c r="L22" s="170"/>
      <c r="M22" s="170"/>
      <c r="N22" s="323"/>
      <c r="O22" s="170"/>
      <c r="P22" s="169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1"/>
      <c r="AB22" s="169">
        <v>38400000</v>
      </c>
      <c r="AC22" s="170">
        <v>12682375</v>
      </c>
      <c r="AD22" s="170">
        <v>12682375</v>
      </c>
      <c r="AE22" s="170">
        <v>12506504</v>
      </c>
      <c r="AF22" s="170">
        <f>9998447.17+AG22+AR22</f>
        <v>12138202.98</v>
      </c>
      <c r="AG22" s="170">
        <f>+AS22</f>
        <v>1172933.23</v>
      </c>
      <c r="AH22" s="169">
        <v>772129.07</v>
      </c>
      <c r="AI22" s="170">
        <v>778000</v>
      </c>
      <c r="AJ22" s="170">
        <v>1134499.93</v>
      </c>
      <c r="AK22" s="170">
        <v>1053306.43</v>
      </c>
      <c r="AL22" s="170">
        <v>1112896.6599999999</v>
      </c>
      <c r="AM22" s="170">
        <v>0</v>
      </c>
      <c r="AN22" s="9">
        <v>7930</v>
      </c>
      <c r="AO22" s="9">
        <v>0</v>
      </c>
      <c r="AP22" s="9">
        <v>0</v>
      </c>
      <c r="AQ22" s="9">
        <v>962758.1</v>
      </c>
      <c r="AR22" s="9">
        <v>966822.58</v>
      </c>
      <c r="AS22" s="192">
        <v>1172933.23</v>
      </c>
      <c r="AU22" s="119"/>
      <c r="AV22" s="119"/>
      <c r="AW22" s="119"/>
      <c r="AX22" s="119"/>
      <c r="AY22" s="119"/>
      <c r="AZ22" s="119"/>
      <c r="BA22" s="119"/>
      <c r="BB22" s="119"/>
    </row>
    <row r="23" spans="1:54" s="111" customFormat="1" ht="30" x14ac:dyDescent="0.25">
      <c r="A23" s="184">
        <v>4</v>
      </c>
      <c r="B23" s="93"/>
      <c r="C23" s="93"/>
      <c r="D23" s="93"/>
      <c r="E23" s="93"/>
      <c r="F23" s="93"/>
      <c r="G23" s="93">
        <v>1</v>
      </c>
      <c r="H23" s="339" t="s">
        <v>115</v>
      </c>
      <c r="I23" s="359" t="s">
        <v>99</v>
      </c>
      <c r="J23" s="360">
        <f t="shared" ref="J23:X23" si="3">+J24</f>
        <v>66286</v>
      </c>
      <c r="K23" s="170">
        <f t="shared" si="3"/>
        <v>43749</v>
      </c>
      <c r="L23" s="170">
        <f t="shared" si="3"/>
        <v>43749</v>
      </c>
      <c r="M23" s="170">
        <f t="shared" si="3"/>
        <v>76011</v>
      </c>
      <c r="N23" s="323">
        <f t="shared" si="3"/>
        <v>72573</v>
      </c>
      <c r="O23" s="170">
        <f>+AA23</f>
        <v>7746</v>
      </c>
      <c r="P23" s="169">
        <f t="shared" si="3"/>
        <v>0</v>
      </c>
      <c r="Q23" s="170">
        <f t="shared" si="3"/>
        <v>11422</v>
      </c>
      <c r="R23" s="170">
        <f t="shared" si="3"/>
        <v>5711</v>
      </c>
      <c r="S23" s="170">
        <f t="shared" si="3"/>
        <v>5711</v>
      </c>
      <c r="T23" s="170">
        <f t="shared" si="3"/>
        <v>5711</v>
      </c>
      <c r="U23" s="170">
        <v>5711</v>
      </c>
      <c r="V23" s="170">
        <f t="shared" si="3"/>
        <v>5353</v>
      </c>
      <c r="W23" s="170">
        <f t="shared" si="3"/>
        <v>5711</v>
      </c>
      <c r="X23" s="170">
        <f t="shared" si="3"/>
        <v>6433</v>
      </c>
      <c r="Y23" s="170">
        <v>5711</v>
      </c>
      <c r="Z23" s="170">
        <v>7371</v>
      </c>
      <c r="AA23" s="171">
        <v>7746</v>
      </c>
      <c r="AB23" s="169"/>
      <c r="AC23" s="170"/>
      <c r="AD23" s="170"/>
      <c r="AE23" s="170"/>
      <c r="AF23" s="170"/>
      <c r="AG23" s="170"/>
      <c r="AH23" s="169"/>
      <c r="AI23" s="170"/>
      <c r="AJ23" s="170"/>
      <c r="AK23" s="170"/>
      <c r="AL23" s="170"/>
      <c r="AM23" s="170"/>
      <c r="AN23" s="9"/>
      <c r="AO23" s="9"/>
      <c r="AP23" s="9"/>
      <c r="AQ23" s="9"/>
      <c r="AR23" s="9"/>
      <c r="AS23" s="10"/>
      <c r="AU23" s="120">
        <v>69600</v>
      </c>
      <c r="AV23" s="120">
        <v>38976000</v>
      </c>
      <c r="AW23" s="120">
        <v>73080</v>
      </c>
      <c r="AX23" s="120">
        <v>39560640</v>
      </c>
      <c r="AY23" s="120">
        <v>76734</v>
      </c>
      <c r="AZ23" s="120">
        <v>40154049.600000001</v>
      </c>
      <c r="BA23" s="120">
        <v>80571</v>
      </c>
      <c r="BB23" s="120">
        <v>40756360.340000004</v>
      </c>
    </row>
    <row r="24" spans="1:54" s="111" customFormat="1" ht="27" x14ac:dyDescent="0.25">
      <c r="A24" s="184"/>
      <c r="B24" s="96"/>
      <c r="C24" s="96"/>
      <c r="D24" s="96"/>
      <c r="E24" s="93"/>
      <c r="F24" s="96"/>
      <c r="G24" s="96">
        <v>2</v>
      </c>
      <c r="H24" s="350" t="s">
        <v>115</v>
      </c>
      <c r="I24" s="357" t="s">
        <v>99</v>
      </c>
      <c r="J24" s="358">
        <v>66286</v>
      </c>
      <c r="K24" s="166">
        <v>43749</v>
      </c>
      <c r="L24" s="166">
        <v>43749</v>
      </c>
      <c r="M24" s="166">
        <v>76011</v>
      </c>
      <c r="N24" s="322">
        <f>57456+O24+Z24</f>
        <v>72573</v>
      </c>
      <c r="O24" s="170">
        <f>+AA24</f>
        <v>7746</v>
      </c>
      <c r="P24" s="165">
        <v>0</v>
      </c>
      <c r="Q24" s="166">
        <v>11422</v>
      </c>
      <c r="R24" s="166">
        <v>5711</v>
      </c>
      <c r="S24" s="166">
        <v>5711</v>
      </c>
      <c r="T24" s="166">
        <v>5711</v>
      </c>
      <c r="U24" s="170">
        <v>5711</v>
      </c>
      <c r="V24" s="166">
        <v>5353</v>
      </c>
      <c r="W24" s="166">
        <v>5711</v>
      </c>
      <c r="X24" s="166">
        <v>6433</v>
      </c>
      <c r="Y24" s="166">
        <v>5711</v>
      </c>
      <c r="Z24" s="166">
        <v>7371</v>
      </c>
      <c r="AA24" s="167">
        <v>7746</v>
      </c>
      <c r="AB24" s="169"/>
      <c r="AC24" s="170"/>
      <c r="AD24" s="170"/>
      <c r="AE24" s="170"/>
      <c r="AF24" s="170"/>
      <c r="AG24" s="170"/>
      <c r="AH24" s="169"/>
      <c r="AI24" s="170"/>
      <c r="AJ24" s="170"/>
      <c r="AK24" s="170"/>
      <c r="AL24" s="170"/>
      <c r="AM24" s="170"/>
      <c r="AN24" s="9"/>
      <c r="AO24" s="9"/>
      <c r="AP24" s="9"/>
      <c r="AQ24" s="9"/>
      <c r="AR24" s="9"/>
      <c r="AS24" s="10"/>
      <c r="AU24" s="119"/>
      <c r="AV24" s="119"/>
      <c r="AW24" s="119"/>
      <c r="AX24" s="119"/>
      <c r="AY24" s="119"/>
      <c r="AZ24" s="119"/>
      <c r="BA24" s="119"/>
      <c r="BB24" s="119"/>
    </row>
    <row r="25" spans="1:54" s="111" customFormat="1" ht="30" x14ac:dyDescent="0.25">
      <c r="A25" s="184"/>
      <c r="B25" s="93"/>
      <c r="C25" s="93"/>
      <c r="D25" s="93"/>
      <c r="E25" s="93">
        <v>4</v>
      </c>
      <c r="F25" s="93">
        <v>0</v>
      </c>
      <c r="G25" s="93"/>
      <c r="H25" s="339" t="s">
        <v>110</v>
      </c>
      <c r="I25" s="359"/>
      <c r="J25" s="360"/>
      <c r="K25" s="170"/>
      <c r="L25" s="170"/>
      <c r="M25" s="170"/>
      <c r="N25" s="323"/>
      <c r="O25" s="170"/>
      <c r="P25" s="169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1"/>
      <c r="AB25" s="169">
        <v>72001023</v>
      </c>
      <c r="AC25" s="170">
        <v>1404787</v>
      </c>
      <c r="AD25" s="170">
        <v>1404787</v>
      </c>
      <c r="AE25" s="170">
        <v>12240837</v>
      </c>
      <c r="AF25" s="170">
        <f>1723875.61+AG25+AR25</f>
        <v>6810728.7500000009</v>
      </c>
      <c r="AG25" s="170">
        <f>+AS25</f>
        <v>5033247.8600000003</v>
      </c>
      <c r="AH25" s="169">
        <v>51364.97</v>
      </c>
      <c r="AI25" s="170">
        <v>43975.03</v>
      </c>
      <c r="AJ25" s="170">
        <v>56109.45</v>
      </c>
      <c r="AK25" s="170">
        <v>104883.22</v>
      </c>
      <c r="AL25" s="170">
        <v>186656.68</v>
      </c>
      <c r="AM25" s="170">
        <v>690915.95</v>
      </c>
      <c r="AN25" s="170">
        <v>1381545.04</v>
      </c>
      <c r="AO25" s="9">
        <v>213308.6</v>
      </c>
      <c r="AP25" s="9">
        <v>57383.47</v>
      </c>
      <c r="AQ25" s="9">
        <v>71638.5</v>
      </c>
      <c r="AR25" s="9">
        <v>53605.279999999999</v>
      </c>
      <c r="AS25" s="192">
        <v>5033247.8600000003</v>
      </c>
      <c r="AU25" s="119"/>
      <c r="AV25" s="119"/>
      <c r="AW25" s="119"/>
      <c r="AX25" s="119"/>
      <c r="AY25" s="119"/>
      <c r="AZ25" s="119"/>
      <c r="BA25" s="119"/>
      <c r="BB25" s="119"/>
    </row>
    <row r="26" spans="1:54" s="111" customFormat="1" ht="30" x14ac:dyDescent="0.25">
      <c r="A26" s="184">
        <v>4</v>
      </c>
      <c r="B26" s="93"/>
      <c r="C26" s="93"/>
      <c r="D26" s="93"/>
      <c r="E26" s="93"/>
      <c r="F26" s="93"/>
      <c r="G26" s="93">
        <v>1</v>
      </c>
      <c r="H26" s="339" t="s">
        <v>111</v>
      </c>
      <c r="I26" s="359" t="s">
        <v>83</v>
      </c>
      <c r="J26" s="360">
        <f t="shared" ref="J26:X26" si="4">+J27</f>
        <v>151250</v>
      </c>
      <c r="K26" s="170">
        <f t="shared" si="4"/>
        <v>104545</v>
      </c>
      <c r="L26" s="170">
        <f t="shared" si="4"/>
        <v>104545</v>
      </c>
      <c r="M26" s="170">
        <v>154934</v>
      </c>
      <c r="N26" s="323">
        <f>+N27</f>
        <v>141734</v>
      </c>
      <c r="O26" s="170">
        <f>+AA26</f>
        <v>22182</v>
      </c>
      <c r="P26" s="169">
        <f t="shared" si="4"/>
        <v>0</v>
      </c>
      <c r="Q26" s="170">
        <f t="shared" si="4"/>
        <v>14170</v>
      </c>
      <c r="R26" s="170">
        <f t="shared" si="4"/>
        <v>6351</v>
      </c>
      <c r="S26" s="170">
        <f t="shared" si="4"/>
        <v>6704</v>
      </c>
      <c r="T26" s="170">
        <f t="shared" si="4"/>
        <v>6884</v>
      </c>
      <c r="U26" s="170">
        <v>7713</v>
      </c>
      <c r="V26" s="170">
        <f t="shared" si="4"/>
        <v>3493</v>
      </c>
      <c r="W26" s="170">
        <f t="shared" si="4"/>
        <v>13931</v>
      </c>
      <c r="X26" s="170">
        <f t="shared" si="4"/>
        <v>6433</v>
      </c>
      <c r="Y26" s="170">
        <v>11071</v>
      </c>
      <c r="Z26" s="170">
        <v>22182</v>
      </c>
      <c r="AA26" s="171">
        <v>22182</v>
      </c>
      <c r="AB26" s="169"/>
      <c r="AC26" s="170"/>
      <c r="AD26" s="170"/>
      <c r="AE26" s="170"/>
      <c r="AF26" s="170"/>
      <c r="AG26" s="170"/>
      <c r="AH26" s="169"/>
      <c r="AI26" s="170"/>
      <c r="AJ26" s="170"/>
      <c r="AK26" s="170"/>
      <c r="AL26" s="170"/>
      <c r="AM26" s="170"/>
      <c r="AN26" s="9"/>
      <c r="AO26" s="9"/>
      <c r="AP26" s="9"/>
      <c r="AQ26" s="9"/>
      <c r="AR26" s="9"/>
      <c r="AS26" s="10"/>
      <c r="AU26" s="120">
        <v>158812.50000000003</v>
      </c>
      <c r="AV26" s="120">
        <v>73081038.344999999</v>
      </c>
      <c r="AW26" s="120">
        <v>166753.12499999997</v>
      </c>
      <c r="AX26" s="120">
        <v>74177253.920175001</v>
      </c>
      <c r="AY26" s="120">
        <v>175090.78125000003</v>
      </c>
      <c r="AZ26" s="120">
        <v>75289912.728977621</v>
      </c>
      <c r="BA26" s="120">
        <v>183845.3203125</v>
      </c>
      <c r="BB26" s="120">
        <v>76419261.419912279</v>
      </c>
    </row>
    <row r="27" spans="1:54" s="111" customFormat="1" ht="27" x14ac:dyDescent="0.25">
      <c r="A27" s="184"/>
      <c r="B27" s="96"/>
      <c r="C27" s="96"/>
      <c r="D27" s="96"/>
      <c r="E27" s="96"/>
      <c r="F27" s="96"/>
      <c r="G27" s="96">
        <v>2</v>
      </c>
      <c r="H27" s="350" t="s">
        <v>111</v>
      </c>
      <c r="I27" s="357" t="s">
        <v>83</v>
      </c>
      <c r="J27" s="358">
        <v>151250</v>
      </c>
      <c r="K27" s="166">
        <v>104545</v>
      </c>
      <c r="L27" s="166">
        <v>104545</v>
      </c>
      <c r="M27" s="166">
        <v>154934</v>
      </c>
      <c r="N27" s="322">
        <f>97370+O27+Z27</f>
        <v>141734</v>
      </c>
      <c r="O27" s="170">
        <f>+AA27</f>
        <v>22182</v>
      </c>
      <c r="P27" s="165">
        <v>0</v>
      </c>
      <c r="Q27" s="166">
        <v>14170</v>
      </c>
      <c r="R27" s="166">
        <v>6351</v>
      </c>
      <c r="S27" s="166">
        <v>6704</v>
      </c>
      <c r="T27" s="166">
        <v>6884</v>
      </c>
      <c r="U27" s="166">
        <v>7713</v>
      </c>
      <c r="V27" s="166">
        <v>3493</v>
      </c>
      <c r="W27" s="166">
        <v>13931</v>
      </c>
      <c r="X27" s="166">
        <v>6433</v>
      </c>
      <c r="Y27" s="166">
        <v>11071</v>
      </c>
      <c r="Z27" s="166">
        <v>22182</v>
      </c>
      <c r="AA27" s="167">
        <v>22182</v>
      </c>
      <c r="AB27" s="165"/>
      <c r="AC27" s="166"/>
      <c r="AD27" s="166"/>
      <c r="AE27" s="166"/>
      <c r="AF27" s="170"/>
      <c r="AG27" s="170"/>
      <c r="AH27" s="169"/>
      <c r="AI27" s="170"/>
      <c r="AJ27" s="170"/>
      <c r="AK27" s="170"/>
      <c r="AL27" s="170"/>
      <c r="AM27" s="170"/>
      <c r="AN27" s="9"/>
      <c r="AO27" s="9"/>
      <c r="AP27" s="9"/>
      <c r="AQ27" s="9"/>
      <c r="AR27" s="9"/>
      <c r="AS27" s="10"/>
      <c r="AU27" s="119"/>
      <c r="AV27" s="119"/>
      <c r="AW27" s="119"/>
      <c r="AX27" s="119"/>
      <c r="AY27" s="119"/>
      <c r="AZ27" s="119"/>
      <c r="BA27" s="119"/>
      <c r="BB27" s="119"/>
    </row>
    <row r="28" spans="1:54" s="111" customFormat="1" x14ac:dyDescent="0.25">
      <c r="A28" s="184"/>
      <c r="B28" s="93">
        <v>99</v>
      </c>
      <c r="C28" s="93"/>
      <c r="D28" s="93"/>
      <c r="E28" s="93"/>
      <c r="F28" s="93"/>
      <c r="G28" s="93"/>
      <c r="H28" s="361" t="s">
        <v>112</v>
      </c>
      <c r="I28" s="362"/>
      <c r="J28" s="360"/>
      <c r="K28" s="170"/>
      <c r="L28" s="170"/>
      <c r="M28" s="170"/>
      <c r="N28" s="323"/>
      <c r="O28" s="170"/>
      <c r="P28" s="169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1"/>
      <c r="AB28" s="169"/>
      <c r="AC28" s="170"/>
      <c r="AD28" s="170"/>
      <c r="AE28" s="170"/>
      <c r="AF28" s="170"/>
      <c r="AG28" s="170"/>
      <c r="AH28" s="169"/>
      <c r="AI28" s="170"/>
      <c r="AJ28" s="170"/>
      <c r="AK28" s="170"/>
      <c r="AL28" s="170"/>
      <c r="AM28" s="170"/>
      <c r="AN28" s="9"/>
      <c r="AO28" s="9"/>
      <c r="AP28" s="9"/>
      <c r="AQ28" s="9"/>
      <c r="AR28" s="9"/>
      <c r="AS28" s="10"/>
      <c r="AU28" s="119"/>
      <c r="AV28" s="119"/>
      <c r="AW28" s="119"/>
      <c r="AX28" s="119"/>
      <c r="AY28" s="119"/>
      <c r="AZ28" s="119"/>
      <c r="BA28" s="119"/>
      <c r="BB28" s="119"/>
    </row>
    <row r="29" spans="1:54" s="111" customFormat="1" x14ac:dyDescent="0.25">
      <c r="A29" s="184"/>
      <c r="B29" s="93"/>
      <c r="C29" s="93">
        <v>0</v>
      </c>
      <c r="D29" s="93"/>
      <c r="E29" s="93"/>
      <c r="F29" s="93"/>
      <c r="G29" s="93"/>
      <c r="H29" s="361" t="s">
        <v>30</v>
      </c>
      <c r="I29" s="362"/>
      <c r="J29" s="360"/>
      <c r="K29" s="170"/>
      <c r="L29" s="170"/>
      <c r="M29" s="170"/>
      <c r="N29" s="323"/>
      <c r="O29" s="170"/>
      <c r="P29" s="169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1"/>
      <c r="AB29" s="169"/>
      <c r="AC29" s="170"/>
      <c r="AD29" s="170"/>
      <c r="AE29" s="170"/>
      <c r="AF29" s="170"/>
      <c r="AG29" s="170"/>
      <c r="AH29" s="169"/>
      <c r="AI29" s="170"/>
      <c r="AJ29" s="170"/>
      <c r="AK29" s="170"/>
      <c r="AL29" s="170"/>
      <c r="AM29" s="170"/>
      <c r="AN29" s="9"/>
      <c r="AO29" s="9"/>
      <c r="AP29" s="9"/>
      <c r="AQ29" s="9"/>
      <c r="AR29" s="9"/>
      <c r="AS29" s="10"/>
      <c r="AU29" s="119"/>
      <c r="AV29" s="119"/>
      <c r="AW29" s="119"/>
      <c r="AX29" s="119"/>
      <c r="AY29" s="119"/>
      <c r="AZ29" s="119"/>
      <c r="BA29" s="119"/>
      <c r="BB29" s="119"/>
    </row>
    <row r="30" spans="1:54" s="111" customFormat="1" x14ac:dyDescent="0.25">
      <c r="A30" s="184"/>
      <c r="B30" s="93"/>
      <c r="C30" s="93"/>
      <c r="D30" s="93">
        <v>0</v>
      </c>
      <c r="E30" s="93"/>
      <c r="F30" s="93"/>
      <c r="G30" s="93"/>
      <c r="H30" s="361" t="s">
        <v>31</v>
      </c>
      <c r="I30" s="362"/>
      <c r="J30" s="360"/>
      <c r="K30" s="170"/>
      <c r="L30" s="170"/>
      <c r="M30" s="170"/>
      <c r="N30" s="323"/>
      <c r="O30" s="170"/>
      <c r="P30" s="169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1"/>
      <c r="AB30" s="169"/>
      <c r="AC30" s="170"/>
      <c r="AD30" s="170"/>
      <c r="AE30" s="170"/>
      <c r="AF30" s="170"/>
      <c r="AG30" s="170"/>
      <c r="AH30" s="169"/>
      <c r="AI30" s="170"/>
      <c r="AJ30" s="170"/>
      <c r="AK30" s="170"/>
      <c r="AL30" s="170"/>
      <c r="AM30" s="170"/>
      <c r="AN30" s="9"/>
      <c r="AO30" s="9"/>
      <c r="AP30" s="9"/>
      <c r="AQ30" s="9"/>
      <c r="AR30" s="9"/>
      <c r="AS30" s="10"/>
      <c r="AU30" s="119"/>
      <c r="AV30" s="119"/>
      <c r="AW30" s="119"/>
      <c r="AX30" s="119"/>
      <c r="AY30" s="119"/>
      <c r="AZ30" s="119"/>
      <c r="BA30" s="119"/>
      <c r="BB30" s="119"/>
    </row>
    <row r="31" spans="1:54" s="111" customFormat="1" ht="30" x14ac:dyDescent="0.25">
      <c r="A31" s="4"/>
      <c r="B31" s="5"/>
      <c r="C31" s="5"/>
      <c r="D31" s="5"/>
      <c r="E31" s="5">
        <v>2</v>
      </c>
      <c r="F31" s="5">
        <v>0</v>
      </c>
      <c r="G31" s="5"/>
      <c r="H31" s="339" t="s">
        <v>113</v>
      </c>
      <c r="I31" s="362"/>
      <c r="J31" s="360"/>
      <c r="K31" s="9"/>
      <c r="L31" s="9"/>
      <c r="M31" s="9"/>
      <c r="N31" s="222"/>
      <c r="O31" s="9"/>
      <c r="P31" s="8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  <c r="AB31" s="115">
        <v>0</v>
      </c>
      <c r="AC31" s="112">
        <v>450000</v>
      </c>
      <c r="AD31" s="112">
        <v>450000</v>
      </c>
      <c r="AE31" s="112">
        <v>450000</v>
      </c>
      <c r="AF31" s="9">
        <f>398701.5+AG31</f>
        <v>398701.5</v>
      </c>
      <c r="AG31" s="170">
        <f>+AS31</f>
        <v>0</v>
      </c>
      <c r="AH31" s="8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398701.5</v>
      </c>
      <c r="AP31" s="9">
        <v>0</v>
      </c>
      <c r="AQ31" s="9">
        <v>0</v>
      </c>
      <c r="AR31" s="9">
        <v>0</v>
      </c>
      <c r="AS31" s="10">
        <v>0</v>
      </c>
      <c r="AU31" s="119"/>
      <c r="AV31" s="119"/>
      <c r="AW31" s="119"/>
      <c r="AX31" s="119"/>
      <c r="AY31" s="119"/>
      <c r="AZ31" s="119"/>
      <c r="BA31" s="119"/>
      <c r="BB31" s="119"/>
    </row>
    <row r="32" spans="1:54" s="111" customFormat="1" ht="30" x14ac:dyDescent="0.25">
      <c r="A32" s="4"/>
      <c r="B32" s="5"/>
      <c r="C32" s="5"/>
      <c r="D32" s="5"/>
      <c r="E32" s="5"/>
      <c r="F32" s="5"/>
      <c r="G32" s="5"/>
      <c r="H32" s="339" t="s">
        <v>114</v>
      </c>
      <c r="I32" s="362" t="s">
        <v>43</v>
      </c>
      <c r="J32" s="360">
        <f>J33</f>
        <v>0</v>
      </c>
      <c r="K32" s="9">
        <f>K33</f>
        <v>1</v>
      </c>
      <c r="L32" s="9">
        <f>L33</f>
        <v>1</v>
      </c>
      <c r="M32" s="9">
        <f>M33</f>
        <v>1</v>
      </c>
      <c r="N32" s="222">
        <f>N33</f>
        <v>1</v>
      </c>
      <c r="O32" s="170">
        <f>+Z32</f>
        <v>1</v>
      </c>
      <c r="P32" s="8">
        <f t="shared" ref="P32:AA32" si="5">+P33</f>
        <v>0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9">
        <f t="shared" si="5"/>
        <v>0</v>
      </c>
      <c r="U32" s="9">
        <f t="shared" si="5"/>
        <v>0</v>
      </c>
      <c r="V32" s="9">
        <f t="shared" si="5"/>
        <v>0</v>
      </c>
      <c r="W32" s="9">
        <f t="shared" si="5"/>
        <v>0</v>
      </c>
      <c r="X32" s="9">
        <f t="shared" si="5"/>
        <v>0</v>
      </c>
      <c r="Y32" s="9">
        <f t="shared" si="5"/>
        <v>0</v>
      </c>
      <c r="Z32" s="9">
        <v>1</v>
      </c>
      <c r="AA32" s="10">
        <f t="shared" si="5"/>
        <v>0</v>
      </c>
      <c r="AB32" s="115"/>
      <c r="AC32" s="112"/>
      <c r="AD32" s="112"/>
      <c r="AE32" s="9"/>
      <c r="AF32" s="9"/>
      <c r="AG32" s="9"/>
      <c r="AH32" s="8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10"/>
      <c r="AU32" s="120"/>
      <c r="AV32" s="120"/>
      <c r="AW32" s="120"/>
      <c r="AX32" s="120"/>
      <c r="AY32" s="120"/>
      <c r="AZ32" s="120"/>
      <c r="BA32" s="120"/>
      <c r="BB32" s="120"/>
    </row>
    <row r="33" spans="1:54" s="111" customFormat="1" ht="27.75" thickBot="1" x14ac:dyDescent="0.3">
      <c r="A33" s="60"/>
      <c r="B33" s="61"/>
      <c r="C33" s="61"/>
      <c r="D33" s="61"/>
      <c r="E33" s="61"/>
      <c r="F33" s="61"/>
      <c r="G33" s="61"/>
      <c r="H33" s="62" t="s">
        <v>114</v>
      </c>
      <c r="I33" s="63" t="s">
        <v>43</v>
      </c>
      <c r="J33" s="44">
        <v>0</v>
      </c>
      <c r="K33" s="15">
        <v>1</v>
      </c>
      <c r="L33" s="15">
        <v>1</v>
      </c>
      <c r="M33" s="15">
        <v>1</v>
      </c>
      <c r="N33" s="223">
        <f>+SUM(P33:AA33)</f>
        <v>1</v>
      </c>
      <c r="O33" s="170">
        <f>+Z33</f>
        <v>1</v>
      </c>
      <c r="P33" s="44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1</v>
      </c>
      <c r="AA33" s="17">
        <v>0</v>
      </c>
      <c r="AB33" s="116"/>
      <c r="AC33" s="117"/>
      <c r="AD33" s="117"/>
      <c r="AE33" s="13"/>
      <c r="AF33" s="13"/>
      <c r="AG33" s="13"/>
      <c r="AH33" s="12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4"/>
      <c r="AU33" s="119"/>
      <c r="AV33" s="119"/>
      <c r="AW33" s="119"/>
      <c r="AX33" s="119"/>
      <c r="AY33" s="119"/>
      <c r="AZ33" s="119"/>
      <c r="BA33" s="119"/>
      <c r="BB33" s="119"/>
    </row>
    <row r="34" spans="1:54" s="111" customFormat="1" ht="13.5" x14ac:dyDescent="0.25">
      <c r="N34" s="225"/>
    </row>
    <row r="35" spans="1:54" s="111" customFormat="1" ht="13.5" x14ac:dyDescent="0.25">
      <c r="N35" s="225"/>
    </row>
    <row r="36" spans="1:54" s="111" customFormat="1" ht="13.5" x14ac:dyDescent="0.25">
      <c r="H36" s="111" t="s">
        <v>218</v>
      </c>
      <c r="N36" s="225"/>
    </row>
    <row r="37" spans="1:54" s="111" customFormat="1" ht="13.5" x14ac:dyDescent="0.25">
      <c r="H37" s="111" t="s">
        <v>222</v>
      </c>
      <c r="N37" s="225"/>
    </row>
    <row r="38" spans="1:54" s="111" customFormat="1" ht="13.5" x14ac:dyDescent="0.25">
      <c r="N38" s="225"/>
    </row>
    <row r="39" spans="1:54" s="111" customFormat="1" ht="13.5" x14ac:dyDescent="0.25">
      <c r="N39" s="225"/>
    </row>
    <row r="40" spans="1:54" s="111" customFormat="1" ht="13.5" x14ac:dyDescent="0.25">
      <c r="N40" s="225"/>
    </row>
    <row r="41" spans="1:54" s="111" customFormat="1" ht="13.5" x14ac:dyDescent="0.25">
      <c r="N41" s="225"/>
    </row>
    <row r="42" spans="1:54" s="111" customFormat="1" ht="13.5" x14ac:dyDescent="0.25">
      <c r="N42" s="225"/>
    </row>
    <row r="43" spans="1:54" s="111" customFormat="1" ht="13.5" x14ac:dyDescent="0.25">
      <c r="N43" s="225"/>
    </row>
    <row r="44" spans="1:54" s="111" customFormat="1" ht="13.5" x14ac:dyDescent="0.25">
      <c r="N44" s="225"/>
    </row>
    <row r="45" spans="1:54" s="111" customFormat="1" ht="13.5" x14ac:dyDescent="0.25">
      <c r="N45" s="225"/>
    </row>
    <row r="46" spans="1:54" s="111" customFormat="1" ht="13.5" x14ac:dyDescent="0.25">
      <c r="N46" s="225"/>
    </row>
    <row r="47" spans="1:54" s="111" customFormat="1" ht="13.5" x14ac:dyDescent="0.25">
      <c r="N47" s="225"/>
    </row>
    <row r="48" spans="1:54" s="111" customFormat="1" ht="13.5" x14ac:dyDescent="0.25">
      <c r="N48" s="225"/>
    </row>
    <row r="49" spans="14:14" s="111" customFormat="1" ht="13.5" x14ac:dyDescent="0.25">
      <c r="N49" s="225"/>
    </row>
    <row r="50" spans="14:14" s="111" customFormat="1" ht="13.5" x14ac:dyDescent="0.25">
      <c r="N50" s="225"/>
    </row>
    <row r="51" spans="14:14" s="111" customFormat="1" ht="13.5" x14ac:dyDescent="0.25">
      <c r="N51" s="225"/>
    </row>
    <row r="52" spans="14:14" s="111" customFormat="1" ht="13.5" x14ac:dyDescent="0.25">
      <c r="N52" s="225"/>
    </row>
    <row r="53" spans="14:14" s="111" customFormat="1" ht="13.5" x14ac:dyDescent="0.25">
      <c r="N53" s="225"/>
    </row>
    <row r="54" spans="14:14" s="111" customFormat="1" ht="13.5" x14ac:dyDescent="0.25">
      <c r="N54" s="225"/>
    </row>
    <row r="55" spans="14:14" s="111" customFormat="1" ht="13.5" x14ac:dyDescent="0.25">
      <c r="N55" s="225"/>
    </row>
    <row r="56" spans="14:14" s="111" customFormat="1" ht="13.5" x14ac:dyDescent="0.25">
      <c r="N56" s="225"/>
    </row>
    <row r="57" spans="14:14" s="111" customFormat="1" ht="13.5" x14ac:dyDescent="0.25">
      <c r="N57" s="225"/>
    </row>
    <row r="58" spans="14:14" s="111" customFormat="1" ht="13.5" x14ac:dyDescent="0.25">
      <c r="N58" s="225"/>
    </row>
    <row r="59" spans="14:14" s="111" customFormat="1" ht="13.5" x14ac:dyDescent="0.25">
      <c r="N59" s="225"/>
    </row>
    <row r="60" spans="14:14" s="111" customFormat="1" ht="13.5" x14ac:dyDescent="0.25">
      <c r="N60" s="225"/>
    </row>
    <row r="61" spans="14:14" s="111" customFormat="1" ht="13.5" x14ac:dyDescent="0.25">
      <c r="N61" s="225"/>
    </row>
    <row r="62" spans="14:14" s="111" customFormat="1" ht="13.5" x14ac:dyDescent="0.25">
      <c r="N62" s="225"/>
    </row>
    <row r="63" spans="14:14" s="111" customFormat="1" ht="13.5" x14ac:dyDescent="0.25">
      <c r="N63" s="225"/>
    </row>
    <row r="64" spans="14:14" s="111" customFormat="1" ht="13.5" x14ac:dyDescent="0.25">
      <c r="N64" s="225"/>
    </row>
    <row r="65" spans="14:14" s="111" customFormat="1" ht="13.5" x14ac:dyDescent="0.25">
      <c r="N65" s="225"/>
    </row>
    <row r="66" spans="14:14" s="111" customFormat="1" ht="13.5" x14ac:dyDescent="0.25">
      <c r="N66" s="225"/>
    </row>
    <row r="67" spans="14:14" s="111" customFormat="1" ht="13.5" x14ac:dyDescent="0.25">
      <c r="N67" s="225"/>
    </row>
    <row r="68" spans="14:14" s="111" customFormat="1" ht="13.5" x14ac:dyDescent="0.25">
      <c r="N68" s="225"/>
    </row>
    <row r="69" spans="14:14" s="111" customFormat="1" ht="13.5" x14ac:dyDescent="0.25">
      <c r="N69" s="225"/>
    </row>
    <row r="70" spans="14:14" s="111" customFormat="1" ht="13.5" x14ac:dyDescent="0.25">
      <c r="N70" s="225"/>
    </row>
    <row r="71" spans="14:14" s="111" customFormat="1" ht="13.5" x14ac:dyDescent="0.25">
      <c r="N71" s="225"/>
    </row>
    <row r="72" spans="14:14" s="111" customFormat="1" ht="13.5" x14ac:dyDescent="0.25">
      <c r="N72" s="225"/>
    </row>
    <row r="73" spans="14:14" s="111" customFormat="1" ht="13.5" x14ac:dyDescent="0.25">
      <c r="N73" s="225"/>
    </row>
  </sheetData>
  <mergeCells count="7">
    <mergeCell ref="BA5:BB5"/>
    <mergeCell ref="A5:I5"/>
    <mergeCell ref="J5:O5"/>
    <mergeCell ref="AB5:AG5"/>
    <mergeCell ref="AU5:AV5"/>
    <mergeCell ref="AW5:AX5"/>
    <mergeCell ref="AY5:AZ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B25"/>
  <sheetViews>
    <sheetView zoomScale="85" zoomScaleNormal="85" workbookViewId="0">
      <pane xSplit="8" ySplit="6" topLeftCell="AB7" activePane="bottomRight" state="frozen"/>
      <selection pane="topRight" activeCell="I1" sqref="I1"/>
      <selection pane="bottomLeft" activeCell="A7" sqref="A7"/>
      <selection pane="bottomRight" activeCell="AP1" sqref="AP1:AS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3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29" width="13.7109375" customWidth="1"/>
    <col min="30" max="30" width="14.85546875" customWidth="1"/>
    <col min="31" max="32" width="14.5703125" customWidth="1"/>
    <col min="33" max="33" width="14.42578125" customWidth="1"/>
    <col min="34" max="45" width="13.7109375" hidden="1" customWidth="1"/>
    <col min="47" max="47" width="11.7109375" customWidth="1"/>
    <col min="48" max="48" width="13.7109375" customWidth="1"/>
    <col min="49" max="49" width="11.7109375" customWidth="1"/>
    <col min="50" max="50" width="13.7109375" customWidth="1"/>
    <col min="51" max="51" width="11.7109375" customWidth="1"/>
    <col min="52" max="52" width="13.7109375" customWidth="1"/>
    <col min="53" max="53" width="11.7109375" customWidth="1"/>
    <col min="54" max="54" width="13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+'217. FSS'!A3</f>
        <v>EJERCICIO FISCAL 2022 - ACTUALIZADA DICIEMBRE</v>
      </c>
    </row>
    <row r="4" spans="1:54" ht="15" customHeight="1" thickBot="1" x14ac:dyDescent="0.3"/>
    <row r="5" spans="1:54" x14ac:dyDescent="0.25">
      <c r="A5" s="327" t="s">
        <v>116</v>
      </c>
      <c r="B5" s="328"/>
      <c r="C5" s="328"/>
      <c r="D5" s="328"/>
      <c r="E5" s="328"/>
      <c r="F5" s="328"/>
      <c r="G5" s="328"/>
      <c r="H5" s="328"/>
      <c r="I5" s="328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29" t="s">
        <v>117</v>
      </c>
      <c r="AC5" s="329"/>
      <c r="AD5" s="329"/>
      <c r="AE5" s="329"/>
      <c r="AF5" s="329"/>
      <c r="AG5" s="330"/>
      <c r="AH5" s="158"/>
      <c r="AI5" s="39"/>
      <c r="AJ5" s="39"/>
      <c r="AK5" s="39"/>
      <c r="AL5" s="39"/>
      <c r="AM5" s="39"/>
      <c r="AN5" s="39"/>
      <c r="AO5" s="309"/>
      <c r="AP5" s="318"/>
      <c r="AQ5" s="318"/>
      <c r="AR5" s="318"/>
      <c r="AS5" s="314"/>
      <c r="AU5" s="326" t="s">
        <v>51</v>
      </c>
      <c r="AV5" s="326"/>
      <c r="AW5" s="326" t="s">
        <v>52</v>
      </c>
      <c r="AX5" s="326"/>
      <c r="AY5" s="326" t="s">
        <v>53</v>
      </c>
      <c r="AZ5" s="326"/>
      <c r="BA5" s="326" t="s">
        <v>55</v>
      </c>
      <c r="BB5" s="326"/>
    </row>
    <row r="6" spans="1:54" s="7" customFormat="1" ht="36.75" thickBot="1" x14ac:dyDescent="0.25">
      <c r="A6" s="238" t="s">
        <v>3</v>
      </c>
      <c r="B6" s="229" t="s">
        <v>4</v>
      </c>
      <c r="C6" s="229" t="s">
        <v>5</v>
      </c>
      <c r="D6" s="229" t="s">
        <v>6</v>
      </c>
      <c r="E6" s="229" t="s">
        <v>7</v>
      </c>
      <c r="F6" s="229" t="s">
        <v>8</v>
      </c>
      <c r="G6" s="229" t="s">
        <v>9</v>
      </c>
      <c r="H6" s="230" t="s">
        <v>10</v>
      </c>
      <c r="I6" s="231" t="s">
        <v>11</v>
      </c>
      <c r="J6" s="232" t="s">
        <v>12</v>
      </c>
      <c r="K6" s="232" t="s">
        <v>65</v>
      </c>
      <c r="L6" s="232" t="s">
        <v>13</v>
      </c>
      <c r="M6" s="232" t="s">
        <v>14</v>
      </c>
      <c r="N6" s="233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3" t="s">
        <v>22</v>
      </c>
      <c r="V6" s="233" t="s">
        <v>23</v>
      </c>
      <c r="W6" s="233" t="s">
        <v>24</v>
      </c>
      <c r="X6" s="233" t="s">
        <v>25</v>
      </c>
      <c r="Y6" s="233" t="s">
        <v>26</v>
      </c>
      <c r="Z6" s="233" t="s">
        <v>27</v>
      </c>
      <c r="AA6" s="233" t="s">
        <v>28</v>
      </c>
      <c r="AB6" s="232" t="s">
        <v>12</v>
      </c>
      <c r="AC6" s="232" t="s">
        <v>65</v>
      </c>
      <c r="AD6" s="232" t="s">
        <v>13</v>
      </c>
      <c r="AE6" s="232" t="s">
        <v>14</v>
      </c>
      <c r="AF6" s="233" t="s">
        <v>15</v>
      </c>
      <c r="AG6" s="239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310" t="s">
        <v>24</v>
      </c>
      <c r="AP6" s="233" t="s">
        <v>25</v>
      </c>
      <c r="AQ6" s="233" t="s">
        <v>26</v>
      </c>
      <c r="AR6" s="233" t="s">
        <v>27</v>
      </c>
      <c r="AS6" s="315" t="s">
        <v>28</v>
      </c>
      <c r="AU6" s="68" t="s">
        <v>54</v>
      </c>
      <c r="AV6" s="68" t="s">
        <v>2</v>
      </c>
      <c r="AW6" s="68" t="s">
        <v>54</v>
      </c>
      <c r="AX6" s="68" t="s">
        <v>2</v>
      </c>
      <c r="AY6" s="68" t="s">
        <v>54</v>
      </c>
      <c r="AZ6" s="68" t="s">
        <v>2</v>
      </c>
      <c r="BA6" s="68" t="s">
        <v>54</v>
      </c>
      <c r="BB6" s="68" t="s">
        <v>2</v>
      </c>
    </row>
    <row r="7" spans="1:54" x14ac:dyDescent="0.25">
      <c r="A7" s="4"/>
      <c r="B7" s="5">
        <v>14</v>
      </c>
      <c r="C7" s="5"/>
      <c r="D7" s="5"/>
      <c r="E7" s="5"/>
      <c r="F7" s="5"/>
      <c r="G7" s="5"/>
      <c r="H7" s="172" t="s">
        <v>118</v>
      </c>
      <c r="I7" s="247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1"/>
      <c r="AH7" s="263"/>
      <c r="AI7" s="183"/>
      <c r="AJ7" s="183"/>
      <c r="AK7" s="183"/>
      <c r="AL7" s="183"/>
      <c r="AM7" s="183"/>
      <c r="AN7" s="20"/>
      <c r="AO7" s="311"/>
      <c r="AP7" s="9"/>
      <c r="AQ7" s="9"/>
      <c r="AR7" s="9"/>
      <c r="AS7" s="291"/>
      <c r="AU7" s="56"/>
      <c r="AV7" s="56"/>
      <c r="AW7" s="56"/>
      <c r="AX7" s="56"/>
      <c r="AY7" s="56"/>
      <c r="AZ7" s="56"/>
      <c r="BA7" s="56"/>
      <c r="BB7" s="56"/>
    </row>
    <row r="8" spans="1:54" x14ac:dyDescent="0.25">
      <c r="A8" s="4"/>
      <c r="B8" s="5"/>
      <c r="C8" s="5">
        <v>0</v>
      </c>
      <c r="D8" s="5"/>
      <c r="E8" s="5"/>
      <c r="F8" s="5"/>
      <c r="G8" s="5"/>
      <c r="H8" s="172" t="s">
        <v>30</v>
      </c>
      <c r="I8" s="247"/>
      <c r="J8" s="185"/>
      <c r="K8" s="185"/>
      <c r="L8" s="185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1"/>
      <c r="AH8" s="264"/>
      <c r="AI8" s="170"/>
      <c r="AJ8" s="170"/>
      <c r="AK8" s="170"/>
      <c r="AL8" s="170"/>
      <c r="AM8" s="170"/>
      <c r="AN8" s="9"/>
      <c r="AO8" s="312"/>
      <c r="AP8" s="9"/>
      <c r="AQ8" s="9"/>
      <c r="AR8" s="9"/>
      <c r="AS8" s="292"/>
      <c r="AU8" s="56"/>
      <c r="AV8" s="56"/>
      <c r="AW8" s="56"/>
      <c r="AX8" s="56"/>
      <c r="AY8" s="56"/>
      <c r="AZ8" s="56"/>
      <c r="BA8" s="56"/>
      <c r="BB8" s="56"/>
    </row>
    <row r="9" spans="1:54" x14ac:dyDescent="0.25">
      <c r="A9" s="4"/>
      <c r="B9" s="5"/>
      <c r="C9" s="5"/>
      <c r="D9" s="5">
        <v>0</v>
      </c>
      <c r="E9" s="5"/>
      <c r="F9" s="5"/>
      <c r="G9" s="5"/>
      <c r="H9" s="172" t="s">
        <v>31</v>
      </c>
      <c r="I9" s="247"/>
      <c r="J9" s="170"/>
      <c r="K9" s="170"/>
      <c r="L9" s="341"/>
      <c r="M9" s="341"/>
      <c r="N9" s="341"/>
      <c r="O9" s="341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1"/>
      <c r="AH9" s="264"/>
      <c r="AI9" s="170"/>
      <c r="AJ9" s="170"/>
      <c r="AK9" s="170"/>
      <c r="AL9" s="170"/>
      <c r="AM9" s="170"/>
      <c r="AN9" s="9"/>
      <c r="AO9" s="312"/>
      <c r="AP9" s="9"/>
      <c r="AQ9" s="9"/>
      <c r="AR9" s="9"/>
      <c r="AS9" s="292"/>
      <c r="AU9" s="56"/>
      <c r="AV9" s="56"/>
      <c r="AW9" s="56"/>
      <c r="AX9" s="56"/>
      <c r="AY9" s="56"/>
      <c r="AZ9" s="56"/>
      <c r="BA9" s="56"/>
      <c r="BB9" s="56"/>
    </row>
    <row r="10" spans="1:54" x14ac:dyDescent="0.25">
      <c r="A10" s="4"/>
      <c r="B10" s="5"/>
      <c r="C10" s="5"/>
      <c r="D10" s="5"/>
      <c r="E10" s="5">
        <v>1</v>
      </c>
      <c r="F10" s="5">
        <v>0</v>
      </c>
      <c r="G10" s="5"/>
      <c r="H10" s="172" t="s">
        <v>59</v>
      </c>
      <c r="I10" s="247"/>
      <c r="J10" s="170"/>
      <c r="K10" s="170"/>
      <c r="L10" s="341"/>
      <c r="M10" s="341"/>
      <c r="N10" s="341"/>
      <c r="O10" s="341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>
        <v>455601768.02666664</v>
      </c>
      <c r="AC10" s="170">
        <v>142000000</v>
      </c>
      <c r="AD10" s="170">
        <v>142000000</v>
      </c>
      <c r="AE10" s="170">
        <v>190182593</v>
      </c>
      <c r="AF10" s="170">
        <f>129247155.92+AG10+AR10</f>
        <v>182093730.96000001</v>
      </c>
      <c r="AG10" s="171">
        <f>+AS10</f>
        <v>33566041.700000003</v>
      </c>
      <c r="AH10" s="265">
        <v>39974307.350000001</v>
      </c>
      <c r="AI10" s="166">
        <v>19487522.079999998</v>
      </c>
      <c r="AJ10" s="166">
        <v>18590638.25</v>
      </c>
      <c r="AK10" s="166">
        <v>22296146.07</v>
      </c>
      <c r="AL10" s="166">
        <v>4423648.5599999996</v>
      </c>
      <c r="AM10" s="166">
        <f>557640.66+896325+875</f>
        <v>1454840.6600000001</v>
      </c>
      <c r="AN10" s="11">
        <v>2244528.86</v>
      </c>
      <c r="AO10" s="216">
        <v>686243.43</v>
      </c>
      <c r="AP10" s="11">
        <v>3327297.21</v>
      </c>
      <c r="AQ10" s="11">
        <v>12930422.76</v>
      </c>
      <c r="AR10" s="11">
        <v>19280533.34</v>
      </c>
      <c r="AS10" s="316">
        <v>33566041.700000003</v>
      </c>
      <c r="AU10" s="56"/>
      <c r="AV10" s="56"/>
      <c r="AW10" s="56"/>
      <c r="AX10" s="56"/>
      <c r="AY10" s="56"/>
      <c r="AZ10" s="56"/>
      <c r="BA10" s="56"/>
      <c r="BB10" s="56"/>
    </row>
    <row r="11" spans="1:54" x14ac:dyDescent="0.25">
      <c r="A11" s="4">
        <v>4</v>
      </c>
      <c r="B11" s="5"/>
      <c r="C11" s="5"/>
      <c r="D11" s="5"/>
      <c r="E11" s="5"/>
      <c r="F11" s="5"/>
      <c r="G11" s="5">
        <v>1</v>
      </c>
      <c r="H11" s="186" t="s">
        <v>60</v>
      </c>
      <c r="I11" s="247" t="s">
        <v>34</v>
      </c>
      <c r="J11" s="170">
        <f t="shared" ref="J11:X11" si="0">J12+J14</f>
        <v>338</v>
      </c>
      <c r="K11" s="170">
        <f t="shared" si="0"/>
        <v>177</v>
      </c>
      <c r="L11" s="341">
        <f t="shared" si="0"/>
        <v>177</v>
      </c>
      <c r="M11" s="341">
        <v>327</v>
      </c>
      <c r="N11" s="341">
        <f>238+O11+Z11</f>
        <v>325</v>
      </c>
      <c r="O11" s="341">
        <f>+AA11</f>
        <v>40</v>
      </c>
      <c r="P11" s="170">
        <f t="shared" si="0"/>
        <v>0</v>
      </c>
      <c r="Q11" s="170">
        <f t="shared" si="0"/>
        <v>18</v>
      </c>
      <c r="R11" s="170">
        <f t="shared" si="0"/>
        <v>11</v>
      </c>
      <c r="S11" s="170">
        <f t="shared" si="0"/>
        <v>19</v>
      </c>
      <c r="T11" s="170">
        <f t="shared" si="0"/>
        <v>27</v>
      </c>
      <c r="U11" s="170">
        <f>U12+U14</f>
        <v>39</v>
      </c>
      <c r="V11" s="170">
        <v>0</v>
      </c>
      <c r="W11" s="170">
        <f t="shared" si="0"/>
        <v>25</v>
      </c>
      <c r="X11" s="170">
        <f t="shared" si="0"/>
        <v>57</v>
      </c>
      <c r="Y11" s="170">
        <v>27</v>
      </c>
      <c r="Z11" s="170">
        <v>47</v>
      </c>
      <c r="AA11" s="170">
        <v>40</v>
      </c>
      <c r="AB11" s="170"/>
      <c r="AC11" s="170"/>
      <c r="AD11" s="170"/>
      <c r="AE11" s="170"/>
      <c r="AF11" s="170"/>
      <c r="AG11" s="171"/>
      <c r="AH11" s="264"/>
      <c r="AI11" s="170"/>
      <c r="AJ11" s="170"/>
      <c r="AK11" s="170"/>
      <c r="AL11" s="170"/>
      <c r="AM11" s="170"/>
      <c r="AN11" s="9"/>
      <c r="AO11" s="312"/>
      <c r="AP11" s="9"/>
      <c r="AQ11" s="9"/>
      <c r="AR11" s="9"/>
      <c r="AS11" s="292"/>
      <c r="AU11" s="122">
        <v>420.565</v>
      </c>
      <c r="AV11" s="122">
        <v>413333878.99162495</v>
      </c>
      <c r="AW11" s="122">
        <v>470.87824999999998</v>
      </c>
      <c r="AX11" s="122">
        <v>431491747.94120622</v>
      </c>
      <c r="AY11" s="122">
        <v>460.09391249999999</v>
      </c>
      <c r="AZ11" s="122">
        <v>427994452.93826652</v>
      </c>
      <c r="BA11" s="122">
        <v>455.09391249999999</v>
      </c>
      <c r="BB11" s="122">
        <v>454217472.93826652</v>
      </c>
    </row>
    <row r="12" spans="1:54" x14ac:dyDescent="0.25">
      <c r="A12" s="4"/>
      <c r="B12" s="5"/>
      <c r="C12" s="5"/>
      <c r="D12" s="5"/>
      <c r="E12" s="5"/>
      <c r="F12" s="5"/>
      <c r="G12" s="6">
        <v>2</v>
      </c>
      <c r="H12" s="187" t="s">
        <v>60</v>
      </c>
      <c r="I12" s="248" t="s">
        <v>34</v>
      </c>
      <c r="J12" s="166">
        <v>88</v>
      </c>
      <c r="K12" s="166">
        <v>67</v>
      </c>
      <c r="L12" s="345">
        <v>67</v>
      </c>
      <c r="M12" s="345">
        <v>212</v>
      </c>
      <c r="N12" s="345">
        <f>140+O12+Z12</f>
        <v>211</v>
      </c>
      <c r="O12" s="341">
        <f>+AA12</f>
        <v>31</v>
      </c>
      <c r="P12" s="166">
        <v>0</v>
      </c>
      <c r="Q12" s="166">
        <v>0</v>
      </c>
      <c r="R12" s="166">
        <v>0</v>
      </c>
      <c r="S12" s="166">
        <v>5</v>
      </c>
      <c r="T12" s="166">
        <v>20</v>
      </c>
      <c r="U12" s="166">
        <v>30</v>
      </c>
      <c r="V12" s="166">
        <v>0</v>
      </c>
      <c r="W12" s="166">
        <v>25</v>
      </c>
      <c r="X12" s="166">
        <v>40</v>
      </c>
      <c r="Y12" s="166">
        <v>20</v>
      </c>
      <c r="Z12" s="166">
        <v>40</v>
      </c>
      <c r="AA12" s="166">
        <v>31</v>
      </c>
      <c r="AB12" s="170"/>
      <c r="AC12" s="170"/>
      <c r="AD12" s="170"/>
      <c r="AE12" s="170"/>
      <c r="AF12" s="170"/>
      <c r="AG12" s="171"/>
      <c r="AH12" s="264"/>
      <c r="AI12" s="170"/>
      <c r="AJ12" s="170"/>
      <c r="AK12" s="170"/>
      <c r="AL12" s="170"/>
      <c r="AM12" s="170"/>
      <c r="AN12" s="9"/>
      <c r="AO12" s="312"/>
      <c r="AP12" s="9"/>
      <c r="AQ12" s="9"/>
      <c r="AR12" s="9"/>
      <c r="AS12" s="292"/>
      <c r="AU12" s="56"/>
      <c r="AV12" s="56"/>
      <c r="AW12" s="56"/>
      <c r="AX12" s="56"/>
      <c r="AY12" s="56"/>
      <c r="AZ12" s="56"/>
      <c r="BA12" s="56"/>
      <c r="BB12" s="56"/>
    </row>
    <row r="13" spans="1:54" x14ac:dyDescent="0.25">
      <c r="A13" s="4"/>
      <c r="B13" s="5"/>
      <c r="C13" s="5"/>
      <c r="D13" s="5"/>
      <c r="E13" s="5"/>
      <c r="F13" s="5"/>
      <c r="G13" s="6">
        <v>3</v>
      </c>
      <c r="H13" s="187" t="s">
        <v>119</v>
      </c>
      <c r="I13" s="248" t="s">
        <v>101</v>
      </c>
      <c r="J13" s="166">
        <v>35444</v>
      </c>
      <c r="K13" s="166">
        <v>10406</v>
      </c>
      <c r="L13" s="345">
        <v>10406</v>
      </c>
      <c r="M13" s="345">
        <v>17484</v>
      </c>
      <c r="N13" s="345">
        <f>+O13+Z13</f>
        <v>17484</v>
      </c>
      <c r="O13" s="341">
        <f>+AA13</f>
        <v>15398</v>
      </c>
      <c r="P13" s="166">
        <v>0</v>
      </c>
      <c r="Q13" s="166">
        <v>0</v>
      </c>
      <c r="R13" s="166">
        <v>0</v>
      </c>
      <c r="S13" s="166">
        <v>0</v>
      </c>
      <c r="T13" s="166">
        <v>0</v>
      </c>
      <c r="U13" s="166">
        <v>0</v>
      </c>
      <c r="V13" s="166">
        <v>0</v>
      </c>
      <c r="W13" s="166">
        <v>0</v>
      </c>
      <c r="X13" s="166">
        <v>0</v>
      </c>
      <c r="Y13" s="166">
        <v>0</v>
      </c>
      <c r="Z13" s="166">
        <v>2086</v>
      </c>
      <c r="AA13" s="166">
        <v>15398</v>
      </c>
      <c r="AB13" s="170"/>
      <c r="AC13" s="170"/>
      <c r="AD13" s="170"/>
      <c r="AE13" s="170"/>
      <c r="AF13" s="170"/>
      <c r="AG13" s="171"/>
      <c r="AH13" s="264"/>
      <c r="AI13" s="170"/>
      <c r="AJ13" s="170"/>
      <c r="AK13" s="170"/>
      <c r="AL13" s="170"/>
      <c r="AM13" s="170"/>
      <c r="AN13" s="9"/>
      <c r="AO13" s="312"/>
      <c r="AP13" s="9"/>
      <c r="AQ13" s="9"/>
      <c r="AR13" s="9"/>
      <c r="AS13" s="292"/>
      <c r="AU13" s="56"/>
      <c r="AV13" s="56"/>
      <c r="AW13" s="56"/>
      <c r="AX13" s="56"/>
      <c r="AY13" s="56"/>
      <c r="AZ13" s="56"/>
      <c r="BA13" s="56"/>
      <c r="BB13" s="56"/>
    </row>
    <row r="14" spans="1:54" x14ac:dyDescent="0.25">
      <c r="A14" s="4"/>
      <c r="B14" s="5"/>
      <c r="C14" s="5"/>
      <c r="D14" s="5"/>
      <c r="E14" s="5"/>
      <c r="F14" s="5"/>
      <c r="G14" s="6">
        <v>4</v>
      </c>
      <c r="H14" s="187" t="s">
        <v>120</v>
      </c>
      <c r="I14" s="248" t="s">
        <v>34</v>
      </c>
      <c r="J14" s="166">
        <v>250</v>
      </c>
      <c r="K14" s="166">
        <v>110</v>
      </c>
      <c r="L14" s="345">
        <v>110</v>
      </c>
      <c r="M14" s="345">
        <v>115</v>
      </c>
      <c r="N14" s="345">
        <v>114</v>
      </c>
      <c r="O14" s="341">
        <f>+AA14</f>
        <v>9</v>
      </c>
      <c r="P14" s="166">
        <v>0</v>
      </c>
      <c r="Q14" s="166">
        <v>18</v>
      </c>
      <c r="R14" s="166">
        <v>11</v>
      </c>
      <c r="S14" s="166">
        <v>14</v>
      </c>
      <c r="T14" s="166">
        <v>7</v>
      </c>
      <c r="U14" s="166">
        <v>9</v>
      </c>
      <c r="V14" s="166">
        <v>9</v>
      </c>
      <c r="W14" s="166">
        <v>0</v>
      </c>
      <c r="X14" s="166">
        <v>17</v>
      </c>
      <c r="Y14" s="166">
        <v>7</v>
      </c>
      <c r="Z14" s="166">
        <v>7</v>
      </c>
      <c r="AA14" s="166">
        <v>9</v>
      </c>
      <c r="AB14" s="170"/>
      <c r="AC14" s="170"/>
      <c r="AD14" s="170"/>
      <c r="AE14" s="170"/>
      <c r="AF14" s="170"/>
      <c r="AG14" s="171"/>
      <c r="AH14" s="264"/>
      <c r="AI14" s="170"/>
      <c r="AJ14" s="170"/>
      <c r="AK14" s="170"/>
      <c r="AL14" s="170"/>
      <c r="AM14" s="170"/>
      <c r="AN14" s="9"/>
      <c r="AO14" s="312"/>
      <c r="AP14" s="9"/>
      <c r="AQ14" s="9"/>
      <c r="AR14" s="9"/>
      <c r="AS14" s="292"/>
      <c r="AU14" s="56"/>
      <c r="AV14" s="56"/>
      <c r="AW14" s="56"/>
      <c r="AX14" s="56"/>
      <c r="AY14" s="56"/>
      <c r="AZ14" s="56"/>
      <c r="BA14" s="56"/>
      <c r="BB14" s="56"/>
    </row>
    <row r="15" spans="1:54" ht="15.75" thickBot="1" x14ac:dyDescent="0.3">
      <c r="A15" s="4"/>
      <c r="B15" s="5"/>
      <c r="C15" s="5"/>
      <c r="D15" s="5"/>
      <c r="E15" s="5"/>
      <c r="F15" s="5"/>
      <c r="G15" s="6">
        <v>5</v>
      </c>
      <c r="H15" s="187" t="s">
        <v>121</v>
      </c>
      <c r="I15" s="248" t="s">
        <v>122</v>
      </c>
      <c r="J15" s="166">
        <v>600</v>
      </c>
      <c r="K15" s="166">
        <v>1</v>
      </c>
      <c r="L15" s="345">
        <v>1</v>
      </c>
      <c r="M15" s="345">
        <v>9</v>
      </c>
      <c r="N15" s="345">
        <f>8+Z15+AA15</f>
        <v>9</v>
      </c>
      <c r="O15" s="341">
        <f>+AA15</f>
        <v>1</v>
      </c>
      <c r="P15" s="166">
        <v>0</v>
      </c>
      <c r="Q15" s="166">
        <v>0</v>
      </c>
      <c r="R15" s="166">
        <v>0</v>
      </c>
      <c r="S15" s="166">
        <v>0</v>
      </c>
      <c r="T15" s="166">
        <v>8</v>
      </c>
      <c r="U15" s="166">
        <v>0</v>
      </c>
      <c r="V15" s="166">
        <v>0</v>
      </c>
      <c r="W15" s="166">
        <v>0</v>
      </c>
      <c r="X15" s="166">
        <v>0</v>
      </c>
      <c r="Y15" s="166">
        <v>0</v>
      </c>
      <c r="Z15" s="166">
        <v>0</v>
      </c>
      <c r="AA15" s="166">
        <v>1</v>
      </c>
      <c r="AB15" s="170"/>
      <c r="AC15" s="170"/>
      <c r="AD15" s="170"/>
      <c r="AE15" s="170"/>
      <c r="AF15" s="170"/>
      <c r="AG15" s="171"/>
      <c r="AH15" s="266"/>
      <c r="AI15" s="188"/>
      <c r="AJ15" s="188"/>
      <c r="AK15" s="188"/>
      <c r="AL15" s="188"/>
      <c r="AM15" s="188"/>
      <c r="AN15" s="13"/>
      <c r="AO15" s="313"/>
      <c r="AP15" s="9"/>
      <c r="AQ15" s="9"/>
      <c r="AR15" s="9"/>
      <c r="AS15" s="317"/>
    </row>
    <row r="16" spans="1:54" ht="30" x14ac:dyDescent="0.25">
      <c r="A16" s="4"/>
      <c r="B16" s="5">
        <v>94</v>
      </c>
      <c r="C16" s="5"/>
      <c r="D16" s="5"/>
      <c r="E16" s="5"/>
      <c r="F16" s="5"/>
      <c r="G16" s="5"/>
      <c r="H16" s="53" t="s">
        <v>231</v>
      </c>
      <c r="I16" s="237"/>
      <c r="J16" s="9"/>
      <c r="K16" s="9"/>
      <c r="L16" s="341"/>
      <c r="M16" s="341"/>
      <c r="N16" s="341"/>
      <c r="O16" s="341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0"/>
      <c r="AH16" s="159"/>
      <c r="AI16" s="20"/>
      <c r="AJ16" s="20"/>
      <c r="AK16" s="20"/>
      <c r="AL16" s="20"/>
      <c r="AM16" s="20"/>
      <c r="AN16" s="20"/>
      <c r="AO16" s="311"/>
      <c r="AP16" s="9"/>
      <c r="AQ16" s="9"/>
      <c r="AR16" s="9"/>
      <c r="AS16" s="291"/>
      <c r="AU16" s="56"/>
      <c r="AV16" s="56"/>
      <c r="AW16" s="56"/>
      <c r="AX16" s="56"/>
      <c r="AY16" s="56"/>
      <c r="AZ16" s="56"/>
      <c r="BA16" s="56"/>
      <c r="BB16" s="56"/>
    </row>
    <row r="17" spans="1:54" ht="45" x14ac:dyDescent="0.25">
      <c r="A17" s="4"/>
      <c r="B17" s="5"/>
      <c r="C17" s="5">
        <v>11</v>
      </c>
      <c r="D17" s="5"/>
      <c r="E17" s="5"/>
      <c r="F17" s="5"/>
      <c r="G17" s="5"/>
      <c r="H17" s="53" t="s">
        <v>232</v>
      </c>
      <c r="I17" s="237"/>
      <c r="J17" s="108">
        <v>0</v>
      </c>
      <c r="K17" s="108">
        <v>0</v>
      </c>
      <c r="L17" s="363">
        <v>0</v>
      </c>
      <c r="M17" s="341">
        <v>0</v>
      </c>
      <c r="N17" s="341">
        <v>0</v>
      </c>
      <c r="O17" s="341">
        <f>+AA17</f>
        <v>0</v>
      </c>
      <c r="P17" s="9"/>
      <c r="Q17" s="9"/>
      <c r="R17" s="9"/>
      <c r="S17" s="9"/>
      <c r="T17" s="9"/>
      <c r="U17" s="9"/>
      <c r="V17" s="9"/>
      <c r="W17" s="9">
        <v>0</v>
      </c>
      <c r="X17" s="9"/>
      <c r="Y17" s="9"/>
      <c r="Z17" s="9"/>
      <c r="AA17" s="9"/>
      <c r="AB17" s="9">
        <v>0</v>
      </c>
      <c r="AC17" s="9">
        <v>0</v>
      </c>
      <c r="AD17" s="9">
        <v>0</v>
      </c>
      <c r="AE17" s="9">
        <v>18908082</v>
      </c>
      <c r="AF17" s="9">
        <f>+SUM(AH17:AS17)</f>
        <v>18831301.539999999</v>
      </c>
      <c r="AG17" s="171">
        <f>+AS17</f>
        <v>7031450.1399999997</v>
      </c>
      <c r="AH17" s="190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216">
        <v>0</v>
      </c>
      <c r="AP17" s="9"/>
      <c r="AQ17" s="9">
        <v>0</v>
      </c>
      <c r="AR17" s="9">
        <v>11799851.4</v>
      </c>
      <c r="AS17" s="292">
        <v>7031450.1399999997</v>
      </c>
      <c r="AU17" s="56"/>
      <c r="AV17" s="56"/>
      <c r="AW17" s="56"/>
      <c r="AX17" s="56"/>
      <c r="AY17" s="56"/>
      <c r="AZ17" s="56"/>
      <c r="BA17" s="56"/>
      <c r="BB17" s="56"/>
    </row>
    <row r="18" spans="1:54" x14ac:dyDescent="0.25">
      <c r="A18" s="4"/>
      <c r="B18" s="5"/>
      <c r="C18" s="5"/>
      <c r="D18" s="5">
        <v>1</v>
      </c>
      <c r="E18" s="5"/>
      <c r="F18" s="5"/>
      <c r="G18" s="5"/>
      <c r="H18" s="53" t="s">
        <v>31</v>
      </c>
      <c r="I18" s="237"/>
      <c r="J18" s="9"/>
      <c r="K18" s="9"/>
      <c r="L18" s="341"/>
      <c r="M18" s="341"/>
      <c r="N18" s="341"/>
      <c r="O18" s="341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0"/>
      <c r="AH18" s="160"/>
      <c r="AI18" s="9"/>
      <c r="AJ18" s="9"/>
      <c r="AK18" s="9"/>
      <c r="AL18" s="9"/>
      <c r="AM18" s="9"/>
      <c r="AN18" s="9"/>
      <c r="AO18" s="312"/>
      <c r="AP18" s="9"/>
      <c r="AQ18" s="9"/>
      <c r="AR18" s="9"/>
      <c r="AS18" s="292"/>
      <c r="AU18" s="56"/>
      <c r="AV18" s="56"/>
      <c r="AW18" s="56"/>
      <c r="AX18" s="56"/>
      <c r="AY18" s="56"/>
      <c r="AZ18" s="56"/>
      <c r="BA18" s="56"/>
      <c r="BB18" s="56"/>
    </row>
    <row r="19" spans="1:54" ht="45" x14ac:dyDescent="0.25">
      <c r="A19" s="4"/>
      <c r="B19" s="5"/>
      <c r="C19" s="5"/>
      <c r="D19" s="5"/>
      <c r="E19" s="5">
        <v>1</v>
      </c>
      <c r="F19" s="5">
        <v>0</v>
      </c>
      <c r="G19" s="5"/>
      <c r="H19" s="53" t="s">
        <v>233</v>
      </c>
      <c r="I19" s="237"/>
      <c r="J19" s="9"/>
      <c r="K19" s="9"/>
      <c r="L19" s="341"/>
      <c r="M19" s="341"/>
      <c r="N19" s="341"/>
      <c r="O19" s="341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0"/>
      <c r="AH19" s="190"/>
      <c r="AI19" s="11"/>
      <c r="AJ19" s="11"/>
      <c r="AK19" s="11"/>
      <c r="AL19" s="11"/>
      <c r="AM19" s="11"/>
      <c r="AN19" s="11"/>
      <c r="AO19" s="216"/>
      <c r="AP19" s="11">
        <v>0</v>
      </c>
      <c r="AQ19" s="11"/>
      <c r="AR19" s="11">
        <v>0</v>
      </c>
      <c r="AS19" s="316">
        <v>0</v>
      </c>
      <c r="AU19" s="56"/>
      <c r="AV19" s="56"/>
      <c r="AW19" s="56"/>
      <c r="AX19" s="56"/>
      <c r="AY19" s="56"/>
      <c r="AZ19" s="56"/>
      <c r="BA19" s="56"/>
      <c r="BB19" s="56"/>
    </row>
    <row r="20" spans="1:54" ht="40.5" x14ac:dyDescent="0.25">
      <c r="A20" s="4">
        <v>4</v>
      </c>
      <c r="B20" s="5"/>
      <c r="C20" s="5"/>
      <c r="D20" s="5"/>
      <c r="E20" s="5"/>
      <c r="F20" s="5"/>
      <c r="G20" s="6">
        <v>3</v>
      </c>
      <c r="H20" s="55" t="s">
        <v>249</v>
      </c>
      <c r="I20" s="199" t="s">
        <v>34</v>
      </c>
      <c r="J20" s="11">
        <v>35444</v>
      </c>
      <c r="K20" s="11">
        <v>10406</v>
      </c>
      <c r="L20" s="345">
        <v>0</v>
      </c>
      <c r="M20" s="345">
        <v>11</v>
      </c>
      <c r="N20" s="345">
        <f>+SUM(P20:AA20)</f>
        <v>10</v>
      </c>
      <c r="O20" s="341">
        <f>+AA20</f>
        <v>3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7</v>
      </c>
      <c r="AA20" s="11">
        <v>3</v>
      </c>
      <c r="AB20" s="9"/>
      <c r="AC20" s="9"/>
      <c r="AD20" s="9"/>
      <c r="AE20" s="9"/>
      <c r="AF20" s="9"/>
      <c r="AG20" s="10"/>
      <c r="AH20" s="160"/>
      <c r="AI20" s="9"/>
      <c r="AJ20" s="9"/>
      <c r="AK20" s="9"/>
      <c r="AL20" s="9"/>
      <c r="AM20" s="9"/>
      <c r="AN20" s="9"/>
      <c r="AO20" s="312"/>
      <c r="AP20" s="9"/>
      <c r="AQ20" s="9"/>
      <c r="AR20" s="9"/>
      <c r="AS20" s="292"/>
      <c r="AU20" s="56"/>
      <c r="AV20" s="56"/>
      <c r="AW20" s="56"/>
      <c r="AX20" s="56"/>
      <c r="AY20" s="56"/>
      <c r="AZ20" s="56"/>
      <c r="BA20" s="56"/>
      <c r="BB20" s="56"/>
    </row>
    <row r="21" spans="1:54" ht="30" x14ac:dyDescent="0.25">
      <c r="A21" s="262"/>
      <c r="B21" s="200"/>
      <c r="C21" s="200"/>
      <c r="D21" s="200"/>
      <c r="E21" s="200"/>
      <c r="F21" s="200"/>
      <c r="G21" s="200"/>
      <c r="H21" s="201" t="s">
        <v>255</v>
      </c>
      <c r="I21" s="200"/>
      <c r="J21" s="200"/>
      <c r="K21" s="200"/>
      <c r="L21" s="363">
        <v>0</v>
      </c>
      <c r="M21" s="341">
        <v>63</v>
      </c>
      <c r="N21" s="363">
        <f>+O21+Z21</f>
        <v>61</v>
      </c>
      <c r="O21" s="341">
        <f>+AA21</f>
        <v>13</v>
      </c>
      <c r="P21" s="200"/>
      <c r="Q21" s="200"/>
      <c r="R21" s="200"/>
      <c r="S21" s="200"/>
      <c r="T21" s="200"/>
      <c r="U21" s="200"/>
      <c r="V21" s="200"/>
      <c r="W21" s="200"/>
      <c r="X21" s="214"/>
      <c r="Y21" s="214"/>
      <c r="Z21" s="214">
        <v>48</v>
      </c>
      <c r="AA21" s="214">
        <v>13</v>
      </c>
      <c r="AB21" s="200"/>
      <c r="AC21" s="200"/>
      <c r="AD21" s="9">
        <v>0</v>
      </c>
      <c r="AE21" s="217">
        <v>54868868.5</v>
      </c>
      <c r="AF21" s="217">
        <f>33705373.73+AG21+AR21</f>
        <v>48077107.339999996</v>
      </c>
      <c r="AG21" s="171">
        <f>+AS21</f>
        <v>6757893.54</v>
      </c>
      <c r="AH21" s="267"/>
      <c r="AI21" s="218"/>
      <c r="AJ21" s="218"/>
      <c r="AK21" s="218"/>
      <c r="AL21" s="218"/>
      <c r="AM21" s="218"/>
      <c r="AN21" s="218"/>
      <c r="AO21" s="219"/>
      <c r="AP21" s="218"/>
      <c r="AQ21" s="218">
        <v>18608539.73</v>
      </c>
      <c r="AR21" s="56">
        <v>7613840.0700000003</v>
      </c>
      <c r="AS21" s="56">
        <v>6757893.54</v>
      </c>
      <c r="AU21" s="200"/>
      <c r="AV21" s="200"/>
      <c r="AW21" s="200"/>
      <c r="AX21" s="200"/>
      <c r="AY21" s="200"/>
      <c r="AZ21" s="200"/>
      <c r="BA21" s="200"/>
      <c r="BB21" s="200"/>
    </row>
    <row r="22" spans="1:54" ht="30" x14ac:dyDescent="0.25">
      <c r="A22" s="262"/>
      <c r="B22" s="200"/>
      <c r="C22" s="200"/>
      <c r="D22" s="200"/>
      <c r="E22" s="200"/>
      <c r="F22" s="200"/>
      <c r="G22" s="200"/>
      <c r="H22" s="202" t="s">
        <v>256</v>
      </c>
      <c r="I22" s="200"/>
      <c r="J22" s="200"/>
      <c r="K22" s="200"/>
      <c r="L22" s="364"/>
      <c r="M22" s="364"/>
      <c r="N22" s="364"/>
      <c r="O22" s="364"/>
      <c r="P22" s="200"/>
      <c r="Q22" s="200"/>
      <c r="R22" s="200"/>
      <c r="S22" s="200"/>
      <c r="T22" s="200"/>
      <c r="U22" s="200"/>
      <c r="V22" s="200"/>
      <c r="W22" s="200"/>
      <c r="X22" s="214"/>
      <c r="Y22" s="214"/>
      <c r="Z22" s="214"/>
      <c r="AA22" s="214"/>
      <c r="AB22" s="200"/>
      <c r="AC22" s="200"/>
      <c r="AD22" s="200"/>
      <c r="AE22" s="200"/>
      <c r="AF22" s="200"/>
      <c r="AG22" s="240"/>
      <c r="AH22" s="261"/>
      <c r="AI22" s="200"/>
      <c r="AJ22" s="200"/>
      <c r="AK22" s="200"/>
      <c r="AL22" s="200"/>
      <c r="AM22" s="200"/>
      <c r="AN22" s="200"/>
      <c r="AO22" s="215"/>
      <c r="AP22" s="200"/>
      <c r="AQ22" s="200"/>
      <c r="AR22" s="200"/>
      <c r="AS22" s="200"/>
      <c r="AU22" s="200"/>
      <c r="AV22" s="200"/>
      <c r="AW22" s="200"/>
      <c r="AX22" s="200"/>
      <c r="AY22" s="200"/>
      <c r="AZ22" s="200"/>
      <c r="BA22" s="200"/>
      <c r="BB22" s="200"/>
    </row>
    <row r="23" spans="1:54" ht="67.5" x14ac:dyDescent="0.25">
      <c r="A23" s="262"/>
      <c r="B23" s="200"/>
      <c r="C23" s="200"/>
      <c r="D23" s="200"/>
      <c r="E23" s="200"/>
      <c r="F23" s="200"/>
      <c r="G23" s="200">
        <v>1</v>
      </c>
      <c r="H23" s="55" t="s">
        <v>254</v>
      </c>
      <c r="I23" s="214" t="s">
        <v>261</v>
      </c>
      <c r="J23" s="200">
        <v>0</v>
      </c>
      <c r="K23" s="200">
        <v>0</v>
      </c>
      <c r="L23" s="345">
        <v>0</v>
      </c>
      <c r="M23" s="345">
        <v>63</v>
      </c>
      <c r="N23" s="345">
        <f>+O23+Z23</f>
        <v>61</v>
      </c>
      <c r="O23" s="341">
        <f>+AA23</f>
        <v>13</v>
      </c>
      <c r="P23" s="200"/>
      <c r="Q23" s="200"/>
      <c r="R23" s="200"/>
      <c r="S23" s="200"/>
      <c r="T23" s="200"/>
      <c r="U23" s="200"/>
      <c r="V23" s="200"/>
      <c r="W23" s="200">
        <v>0</v>
      </c>
      <c r="X23" s="214"/>
      <c r="Y23" s="11">
        <v>0</v>
      </c>
      <c r="Z23" s="214">
        <v>48</v>
      </c>
      <c r="AA23" s="214">
        <v>13</v>
      </c>
      <c r="AB23" s="200"/>
      <c r="AC23" s="200"/>
      <c r="AD23" s="200"/>
      <c r="AE23" s="200"/>
      <c r="AF23" s="200"/>
      <c r="AG23" s="171">
        <f>+AS23</f>
        <v>0</v>
      </c>
      <c r="AH23" s="265"/>
      <c r="AI23" s="166"/>
      <c r="AJ23" s="166"/>
      <c r="AK23" s="166"/>
      <c r="AL23" s="166"/>
      <c r="AM23" s="166"/>
      <c r="AN23" s="11"/>
      <c r="AO23" s="216"/>
      <c r="AP23" s="11">
        <v>15096834</v>
      </c>
      <c r="AQ23" s="200"/>
      <c r="AR23" s="200"/>
      <c r="AS23" s="200"/>
      <c r="AU23" s="200"/>
      <c r="AV23" s="200"/>
      <c r="AW23" s="200"/>
      <c r="AX23" s="200"/>
      <c r="AY23" s="200"/>
      <c r="AZ23" s="200"/>
      <c r="BA23" s="200"/>
      <c r="BB23" s="200"/>
    </row>
    <row r="24" spans="1:54" ht="135" x14ac:dyDescent="0.25">
      <c r="A24" s="59"/>
      <c r="B24" s="6"/>
      <c r="C24" s="6">
        <v>15</v>
      </c>
      <c r="D24" s="6"/>
      <c r="E24" s="6"/>
      <c r="F24" s="6"/>
      <c r="G24" s="6"/>
      <c r="H24" s="53" t="s">
        <v>262</v>
      </c>
      <c r="I24" s="199" t="s">
        <v>64</v>
      </c>
      <c r="J24" s="57"/>
      <c r="K24" s="57"/>
      <c r="L24" s="365">
        <v>0</v>
      </c>
      <c r="M24" s="365">
        <v>40</v>
      </c>
      <c r="N24" s="349">
        <f>+O24</f>
        <v>40</v>
      </c>
      <c r="O24" s="341">
        <f>+AA24</f>
        <v>40</v>
      </c>
      <c r="P24" s="58"/>
      <c r="Q24" s="58"/>
      <c r="R24" s="58"/>
      <c r="S24" s="58"/>
      <c r="T24" s="58"/>
      <c r="U24" s="58"/>
      <c r="V24" s="58"/>
      <c r="W24" s="58"/>
      <c r="X24" s="58"/>
      <c r="Y24" s="58">
        <v>0</v>
      </c>
      <c r="Z24" s="57">
        <v>0</v>
      </c>
      <c r="AA24" s="57">
        <v>40</v>
      </c>
      <c r="AB24" s="57"/>
      <c r="AC24" s="57"/>
      <c r="AD24" s="57"/>
      <c r="AE24" s="57">
        <v>32940522</v>
      </c>
      <c r="AF24" s="57">
        <v>32869059.850000001</v>
      </c>
      <c r="AG24" s="65">
        <f>+AF24</f>
        <v>32869059.850000001</v>
      </c>
      <c r="AP24" s="200"/>
      <c r="AQ24" s="200"/>
      <c r="AR24" s="56">
        <v>32869059.850000001</v>
      </c>
      <c r="AS24" s="200"/>
      <c r="AU24" s="200"/>
      <c r="AV24" s="200"/>
      <c r="AW24" s="200"/>
      <c r="AX24" s="200"/>
      <c r="AY24" s="200"/>
      <c r="AZ24" s="200"/>
      <c r="BA24" s="200"/>
      <c r="BB24" s="200"/>
    </row>
    <row r="25" spans="1:54" ht="41.25" thickBot="1" x14ac:dyDescent="0.3">
      <c r="A25" s="60"/>
      <c r="B25" s="61"/>
      <c r="C25" s="61"/>
      <c r="D25" s="61"/>
      <c r="E25" s="61">
        <v>1</v>
      </c>
      <c r="F25" s="61"/>
      <c r="G25" s="61"/>
      <c r="H25" s="62" t="s">
        <v>263</v>
      </c>
      <c r="I25" s="241" t="s">
        <v>64</v>
      </c>
      <c r="J25" s="246">
        <v>0</v>
      </c>
      <c r="K25" s="246">
        <v>0</v>
      </c>
      <c r="L25" s="356">
        <v>0</v>
      </c>
      <c r="M25" s="356">
        <v>40</v>
      </c>
      <c r="N25" s="366">
        <f>+O25</f>
        <v>40</v>
      </c>
      <c r="O25" s="367">
        <f>+AA25</f>
        <v>40</v>
      </c>
      <c r="P25" s="246"/>
      <c r="Q25" s="246"/>
      <c r="R25" s="246"/>
      <c r="S25" s="246"/>
      <c r="T25" s="246"/>
      <c r="U25" s="246"/>
      <c r="V25" s="246"/>
      <c r="W25" s="246">
        <v>0</v>
      </c>
      <c r="X25" s="246"/>
      <c r="Y25" s="246">
        <v>0</v>
      </c>
      <c r="Z25" s="246">
        <v>0</v>
      </c>
      <c r="AA25" s="246">
        <v>40</v>
      </c>
      <c r="AB25" s="246">
        <v>0</v>
      </c>
      <c r="AC25" s="246">
        <v>0</v>
      </c>
      <c r="AD25" s="246">
        <v>0</v>
      </c>
      <c r="AE25" s="246">
        <v>0</v>
      </c>
      <c r="AF25" s="246">
        <v>0</v>
      </c>
      <c r="AG25" s="303">
        <f>+AS25</f>
        <v>0</v>
      </c>
      <c r="AP25" s="200"/>
      <c r="AQ25" s="200"/>
      <c r="AR25" s="200"/>
      <c r="AS25" s="200"/>
      <c r="AU25" s="200"/>
      <c r="AV25" s="200"/>
      <c r="AW25" s="200"/>
      <c r="AX25" s="200"/>
      <c r="AY25" s="200"/>
      <c r="AZ25" s="200"/>
      <c r="BA25" s="200"/>
      <c r="BB25" s="200"/>
    </row>
  </sheetData>
  <mergeCells count="7">
    <mergeCell ref="BA5:BB5"/>
    <mergeCell ref="A5:I5"/>
    <mergeCell ref="J5:O5"/>
    <mergeCell ref="AB5:AG5"/>
    <mergeCell ref="AU5:AV5"/>
    <mergeCell ref="AW5:AX5"/>
    <mergeCell ref="AY5:AZ5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B26"/>
  <sheetViews>
    <sheetView zoomScale="85" zoomScaleNormal="85" workbookViewId="0">
      <pane xSplit="8" ySplit="6" topLeftCell="I7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P1" sqref="AP1:AS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33" width="13.7109375" customWidth="1"/>
    <col min="34" max="45" width="13.7109375" hidden="1" customWidth="1"/>
    <col min="47" max="47" width="10.7109375" customWidth="1"/>
    <col min="48" max="48" width="13.7109375" customWidth="1"/>
    <col min="49" max="49" width="10.7109375" customWidth="1"/>
    <col min="50" max="50" width="13.7109375" customWidth="1"/>
    <col min="51" max="51" width="10.7109375" customWidth="1"/>
    <col min="52" max="52" width="13.7109375" customWidth="1"/>
    <col min="53" max="53" width="10.7109375" customWidth="1"/>
    <col min="54" max="54" width="13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+'201. DS'!A3</f>
        <v>EJERCICIO FISCAL 2022 - ACTUALIZADA DICIEMBRE</v>
      </c>
    </row>
    <row r="4" spans="1:54" ht="15" customHeight="1" thickBot="1" x14ac:dyDescent="0.3"/>
    <row r="5" spans="1:54" x14ac:dyDescent="0.25">
      <c r="A5" s="327" t="s">
        <v>123</v>
      </c>
      <c r="B5" s="328"/>
      <c r="C5" s="328"/>
      <c r="D5" s="328"/>
      <c r="E5" s="328"/>
      <c r="F5" s="328"/>
      <c r="G5" s="328"/>
      <c r="H5" s="328"/>
      <c r="I5" s="331"/>
      <c r="J5" s="332" t="s">
        <v>1</v>
      </c>
      <c r="K5" s="329"/>
      <c r="L5" s="329"/>
      <c r="M5" s="329"/>
      <c r="N5" s="329"/>
      <c r="O5" s="330"/>
      <c r="P5" s="38"/>
      <c r="Q5" s="39"/>
      <c r="R5" s="39"/>
      <c r="S5" s="39"/>
      <c r="T5" s="39"/>
      <c r="U5" s="40"/>
      <c r="V5" s="158"/>
      <c r="W5" s="39"/>
      <c r="X5" s="39"/>
      <c r="Y5" s="39"/>
      <c r="Z5" s="39"/>
      <c r="AA5" s="40"/>
      <c r="AB5" s="332" t="s">
        <v>2</v>
      </c>
      <c r="AC5" s="329"/>
      <c r="AD5" s="329"/>
      <c r="AE5" s="329"/>
      <c r="AF5" s="329"/>
      <c r="AG5" s="330"/>
      <c r="AH5" s="3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0"/>
      <c r="AU5" s="326" t="s">
        <v>51</v>
      </c>
      <c r="AV5" s="326"/>
      <c r="AW5" s="326" t="s">
        <v>52</v>
      </c>
      <c r="AX5" s="326"/>
      <c r="AY5" s="326" t="s">
        <v>53</v>
      </c>
      <c r="AZ5" s="326"/>
      <c r="BA5" s="326" t="s">
        <v>55</v>
      </c>
      <c r="BB5" s="326"/>
    </row>
    <row r="6" spans="1:54" s="7" customFormat="1" ht="36.75" thickBot="1" x14ac:dyDescent="0.3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67" t="s">
        <v>10</v>
      </c>
      <c r="I6" s="26" t="s">
        <v>11</v>
      </c>
      <c r="J6" s="31" t="s">
        <v>12</v>
      </c>
      <c r="K6" s="27" t="s">
        <v>65</v>
      </c>
      <c r="L6" s="27" t="s">
        <v>13</v>
      </c>
      <c r="M6" s="27" t="s">
        <v>14</v>
      </c>
      <c r="N6" s="28" t="s">
        <v>15</v>
      </c>
      <c r="O6" s="29" t="s">
        <v>16</v>
      </c>
      <c r="P6" s="41" t="s">
        <v>17</v>
      </c>
      <c r="Q6" s="28" t="s">
        <v>18</v>
      </c>
      <c r="R6" s="28" t="s">
        <v>19</v>
      </c>
      <c r="S6" s="28" t="s">
        <v>20</v>
      </c>
      <c r="T6" s="28" t="s">
        <v>21</v>
      </c>
      <c r="U6" s="29" t="s">
        <v>22</v>
      </c>
      <c r="V6" s="30" t="s">
        <v>23</v>
      </c>
      <c r="W6" s="28" t="s">
        <v>24</v>
      </c>
      <c r="X6" s="28" t="s">
        <v>25</v>
      </c>
      <c r="Y6" s="28" t="s">
        <v>26</v>
      </c>
      <c r="Z6" s="28" t="s">
        <v>27</v>
      </c>
      <c r="AA6" s="29" t="s">
        <v>28</v>
      </c>
      <c r="AB6" s="31" t="s">
        <v>12</v>
      </c>
      <c r="AC6" s="27" t="s">
        <v>65</v>
      </c>
      <c r="AD6" s="27" t="s">
        <v>13</v>
      </c>
      <c r="AE6" s="27" t="s">
        <v>14</v>
      </c>
      <c r="AF6" s="28" t="s">
        <v>15</v>
      </c>
      <c r="AG6" s="29" t="s">
        <v>16</v>
      </c>
      <c r="AH6" s="41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2"/>
      <c r="AU6" s="68" t="s">
        <v>54</v>
      </c>
      <c r="AV6" s="68" t="s">
        <v>2</v>
      </c>
      <c r="AW6" s="68" t="s">
        <v>54</v>
      </c>
      <c r="AX6" s="68" t="s">
        <v>2</v>
      </c>
      <c r="AY6" s="68" t="s">
        <v>54</v>
      </c>
      <c r="AZ6" s="68" t="s">
        <v>2</v>
      </c>
      <c r="BA6" s="68" t="s">
        <v>54</v>
      </c>
      <c r="BB6" s="68" t="s">
        <v>2</v>
      </c>
    </row>
    <row r="7" spans="1:54" s="131" customFormat="1" ht="30" x14ac:dyDescent="0.25">
      <c r="A7" s="18"/>
      <c r="B7" s="19">
        <v>15</v>
      </c>
      <c r="C7" s="19"/>
      <c r="D7" s="19"/>
      <c r="E7" s="19"/>
      <c r="F7" s="19"/>
      <c r="G7" s="19"/>
      <c r="H7" s="66" t="s">
        <v>124</v>
      </c>
      <c r="I7" s="118"/>
      <c r="J7" s="42"/>
      <c r="K7" s="22"/>
      <c r="L7" s="22"/>
      <c r="M7" s="22"/>
      <c r="N7" s="22"/>
      <c r="O7" s="23"/>
      <c r="P7" s="42"/>
      <c r="Q7" s="22"/>
      <c r="R7" s="22"/>
      <c r="S7" s="22"/>
      <c r="T7" s="22"/>
      <c r="U7" s="23"/>
      <c r="V7" s="189"/>
      <c r="W7" s="22"/>
      <c r="X7" s="22"/>
      <c r="Y7" s="22"/>
      <c r="Z7" s="22"/>
      <c r="AA7" s="23"/>
      <c r="AB7" s="42"/>
      <c r="AC7" s="22"/>
      <c r="AD7" s="22"/>
      <c r="AE7" s="22"/>
      <c r="AF7" s="22"/>
      <c r="AG7" s="23"/>
      <c r="AH7" s="4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30"/>
      <c r="AU7" s="11"/>
      <c r="AV7" s="11"/>
      <c r="AW7" s="11"/>
      <c r="AX7" s="11"/>
      <c r="AY7" s="11"/>
      <c r="AZ7" s="11"/>
      <c r="BA7" s="11"/>
      <c r="BB7" s="11"/>
    </row>
    <row r="8" spans="1:54" s="131" customFormat="1" x14ac:dyDescent="0.25">
      <c r="A8" s="4"/>
      <c r="B8" s="5"/>
      <c r="C8" s="5">
        <v>0</v>
      </c>
      <c r="D8" s="5"/>
      <c r="E8" s="5"/>
      <c r="F8" s="5"/>
      <c r="G8" s="5"/>
      <c r="H8" s="53" t="s">
        <v>30</v>
      </c>
      <c r="I8" s="85"/>
      <c r="J8" s="43"/>
      <c r="K8" s="11"/>
      <c r="L8" s="11"/>
      <c r="M8" s="11"/>
      <c r="N8" s="11"/>
      <c r="O8" s="16"/>
      <c r="P8" s="43"/>
      <c r="Q8" s="11"/>
      <c r="R8" s="11"/>
      <c r="S8" s="11"/>
      <c r="T8" s="11"/>
      <c r="U8" s="16"/>
      <c r="V8" s="190"/>
      <c r="W8" s="11"/>
      <c r="X8" s="11"/>
      <c r="Y8" s="11"/>
      <c r="Z8" s="11"/>
      <c r="AA8" s="16"/>
      <c r="AB8" s="43"/>
      <c r="AC8" s="11"/>
      <c r="AD8" s="11"/>
      <c r="AE8" s="11"/>
      <c r="AF8" s="11"/>
      <c r="AG8" s="16"/>
      <c r="AH8" s="43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30"/>
      <c r="AU8" s="11"/>
      <c r="AV8" s="11"/>
      <c r="AW8" s="11"/>
      <c r="AX8" s="11"/>
      <c r="AY8" s="11"/>
      <c r="AZ8" s="11"/>
      <c r="BA8" s="11"/>
      <c r="BB8" s="11"/>
    </row>
    <row r="9" spans="1:54" s="131" customFormat="1" x14ac:dyDescent="0.25">
      <c r="A9" s="4"/>
      <c r="B9" s="5"/>
      <c r="C9" s="5"/>
      <c r="D9" s="5">
        <v>0</v>
      </c>
      <c r="E9" s="5"/>
      <c r="F9" s="5"/>
      <c r="G9" s="5"/>
      <c r="H9" s="53" t="s">
        <v>31</v>
      </c>
      <c r="I9" s="85"/>
      <c r="J9" s="43"/>
      <c r="K9" s="11"/>
      <c r="L9" s="11"/>
      <c r="M9" s="11"/>
      <c r="N9" s="11"/>
      <c r="O9" s="16"/>
      <c r="P9" s="43"/>
      <c r="Q9" s="11"/>
      <c r="R9" s="11"/>
      <c r="S9" s="11"/>
      <c r="T9" s="11"/>
      <c r="U9" s="16"/>
      <c r="V9" s="190"/>
      <c r="W9" s="11"/>
      <c r="X9" s="11"/>
      <c r="Y9" s="11"/>
      <c r="Z9" s="11"/>
      <c r="AA9" s="16"/>
      <c r="AB9" s="43"/>
      <c r="AC9" s="11"/>
      <c r="AD9" s="11"/>
      <c r="AE9" s="11"/>
      <c r="AF9" s="11"/>
      <c r="AG9" s="16"/>
      <c r="AH9" s="43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30"/>
      <c r="AU9" s="11"/>
      <c r="AV9" s="11"/>
      <c r="AW9" s="11"/>
      <c r="AX9" s="11"/>
      <c r="AY9" s="11"/>
      <c r="AZ9" s="11"/>
      <c r="BA9" s="11"/>
      <c r="BB9" s="11"/>
    </row>
    <row r="10" spans="1:54" s="131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3" t="s">
        <v>59</v>
      </c>
      <c r="I10" s="85"/>
      <c r="J10" s="43"/>
      <c r="K10" s="11"/>
      <c r="L10" s="11"/>
      <c r="M10" s="11"/>
      <c r="N10" s="11"/>
      <c r="O10" s="16"/>
      <c r="P10" s="43"/>
      <c r="Q10" s="11"/>
      <c r="R10" s="11"/>
      <c r="S10" s="11"/>
      <c r="T10" s="11"/>
      <c r="U10" s="16"/>
      <c r="V10" s="190"/>
      <c r="W10" s="11"/>
      <c r="X10" s="11"/>
      <c r="Y10" s="11"/>
      <c r="Z10" s="11"/>
      <c r="AA10" s="16"/>
      <c r="AB10" s="8">
        <v>13278539.433999998</v>
      </c>
      <c r="AC10" s="9">
        <v>6386608</v>
      </c>
      <c r="AD10" s="9">
        <v>6386608</v>
      </c>
      <c r="AE10" s="9">
        <v>7346490</v>
      </c>
      <c r="AF10" s="9">
        <f>5786730.19+AR10+AS10</f>
        <v>7173793.8900000006</v>
      </c>
      <c r="AG10" s="10">
        <f>+AS10</f>
        <v>1079945.49</v>
      </c>
      <c r="AH10" s="43">
        <v>560858.31999999995</v>
      </c>
      <c r="AI10" s="11">
        <v>456597.6</v>
      </c>
      <c r="AJ10" s="11">
        <v>606259.48</v>
      </c>
      <c r="AK10" s="11">
        <v>395979.17</v>
      </c>
      <c r="AL10" s="11">
        <v>401134.88</v>
      </c>
      <c r="AM10" s="11">
        <v>712856.35</v>
      </c>
      <c r="AN10" s="11">
        <v>1428480.28</v>
      </c>
      <c r="AO10" s="11">
        <v>204692.84</v>
      </c>
      <c r="AP10" s="11">
        <v>22453.200000000001</v>
      </c>
      <c r="AQ10" s="11">
        <v>597415.6</v>
      </c>
      <c r="AR10" s="11">
        <v>307118.21000000002</v>
      </c>
      <c r="AS10" s="16">
        <v>1079945.49</v>
      </c>
      <c r="AT10" s="130"/>
      <c r="AU10" s="11"/>
      <c r="AV10" s="11"/>
      <c r="AW10" s="11"/>
      <c r="AX10" s="11"/>
      <c r="AY10" s="11"/>
      <c r="AZ10" s="11"/>
      <c r="BA10" s="11"/>
      <c r="BB10" s="11"/>
    </row>
    <row r="11" spans="1:54" s="131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3" t="s">
        <v>60</v>
      </c>
      <c r="I11" s="47" t="s">
        <v>34</v>
      </c>
      <c r="J11" s="8">
        <f>J12</f>
        <v>175</v>
      </c>
      <c r="K11" s="9">
        <f>K12</f>
        <v>139</v>
      </c>
      <c r="L11" s="9">
        <f>L12</f>
        <v>139</v>
      </c>
      <c r="M11" s="9">
        <f>M12</f>
        <v>293</v>
      </c>
      <c r="N11" s="9">
        <f>N12</f>
        <v>293</v>
      </c>
      <c r="O11" s="9">
        <f>+O12</f>
        <v>0</v>
      </c>
      <c r="P11" s="8">
        <f t="shared" ref="P11:AA11" si="0">SUM(P12)</f>
        <v>0</v>
      </c>
      <c r="Q11" s="9">
        <f t="shared" si="0"/>
        <v>64</v>
      </c>
      <c r="R11" s="9">
        <f t="shared" si="0"/>
        <v>0</v>
      </c>
      <c r="S11" s="9">
        <f t="shared" si="0"/>
        <v>0</v>
      </c>
      <c r="T11" s="9">
        <f t="shared" si="0"/>
        <v>22</v>
      </c>
      <c r="U11" s="10">
        <v>0</v>
      </c>
      <c r="V11" s="160">
        <f t="shared" si="0"/>
        <v>0</v>
      </c>
      <c r="W11" s="9">
        <v>0</v>
      </c>
      <c r="X11" s="9">
        <f t="shared" si="0"/>
        <v>131</v>
      </c>
      <c r="Y11" s="9">
        <f t="shared" si="0"/>
        <v>0</v>
      </c>
      <c r="Z11" s="9">
        <v>76</v>
      </c>
      <c r="AA11" s="10">
        <f t="shared" si="0"/>
        <v>0</v>
      </c>
      <c r="AB11" s="8"/>
      <c r="AC11" s="9"/>
      <c r="AD11" s="9"/>
      <c r="AE11" s="9"/>
      <c r="AF11" s="9"/>
      <c r="AG11" s="10"/>
      <c r="AH11" s="8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130"/>
      <c r="AU11" s="9">
        <v>178.5</v>
      </c>
      <c r="AV11" s="9">
        <v>14606393.3774</v>
      </c>
      <c r="AW11" s="9">
        <v>182.07</v>
      </c>
      <c r="AX11" s="9">
        <v>16067032.71514</v>
      </c>
      <c r="AY11" s="9">
        <v>185.7114</v>
      </c>
      <c r="AZ11" s="9">
        <v>17673735.986654002</v>
      </c>
      <c r="BA11" s="9">
        <v>189.42562799999999</v>
      </c>
      <c r="BB11" s="9">
        <v>19441109.585319404</v>
      </c>
    </row>
    <row r="12" spans="1:54" s="131" customFormat="1" x14ac:dyDescent="0.25">
      <c r="A12" s="4"/>
      <c r="B12" s="5"/>
      <c r="C12" s="5"/>
      <c r="D12" s="5"/>
      <c r="E12" s="5"/>
      <c r="F12" s="5"/>
      <c r="G12" s="6">
        <v>2</v>
      </c>
      <c r="H12" s="110" t="s">
        <v>60</v>
      </c>
      <c r="I12" s="85" t="s">
        <v>34</v>
      </c>
      <c r="J12" s="43">
        <v>175</v>
      </c>
      <c r="K12" s="11">
        <v>139</v>
      </c>
      <c r="L12" s="11">
        <v>139</v>
      </c>
      <c r="M12" s="11">
        <v>293</v>
      </c>
      <c r="N12" s="11">
        <f>SUM(P12:AA12)</f>
        <v>293</v>
      </c>
      <c r="O12" s="11">
        <f>+AA12</f>
        <v>0</v>
      </c>
      <c r="P12" s="43">
        <v>0</v>
      </c>
      <c r="Q12" s="11">
        <v>64</v>
      </c>
      <c r="R12" s="11">
        <v>0</v>
      </c>
      <c r="S12" s="11">
        <v>0</v>
      </c>
      <c r="T12" s="11">
        <v>22</v>
      </c>
      <c r="U12" s="16">
        <v>0</v>
      </c>
      <c r="V12" s="190">
        <v>0</v>
      </c>
      <c r="W12" s="11">
        <v>0</v>
      </c>
      <c r="X12" s="11">
        <v>131</v>
      </c>
      <c r="Y12" s="11">
        <v>0</v>
      </c>
      <c r="Z12" s="11">
        <v>76</v>
      </c>
      <c r="AA12" s="16">
        <v>0</v>
      </c>
      <c r="AB12" s="8"/>
      <c r="AC12" s="9"/>
      <c r="AD12" s="9"/>
      <c r="AE12" s="9"/>
      <c r="AF12" s="9"/>
      <c r="AG12" s="10"/>
      <c r="AH12" s="8"/>
      <c r="AI12" s="9"/>
      <c r="AJ12" s="9"/>
      <c r="AK12" s="11"/>
      <c r="AL12" s="11"/>
      <c r="AM12" s="11"/>
      <c r="AN12" s="11"/>
      <c r="AO12" s="11"/>
      <c r="AP12" s="11"/>
      <c r="AQ12" s="11"/>
      <c r="AR12" s="11"/>
      <c r="AS12" s="16"/>
      <c r="AT12" s="130"/>
      <c r="AU12" s="11"/>
      <c r="AV12" s="11"/>
      <c r="AW12" s="11"/>
      <c r="AX12" s="11"/>
      <c r="AY12" s="11"/>
      <c r="AZ12" s="11"/>
      <c r="BA12" s="11"/>
      <c r="BB12" s="11"/>
    </row>
    <row r="13" spans="1:54" s="131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3" t="s">
        <v>125</v>
      </c>
      <c r="I13" s="85"/>
      <c r="J13" s="43"/>
      <c r="K13" s="11"/>
      <c r="L13" s="11"/>
      <c r="M13" s="11"/>
      <c r="N13" s="11"/>
      <c r="O13" s="11"/>
      <c r="P13" s="43"/>
      <c r="Q13" s="11"/>
      <c r="R13" s="11"/>
      <c r="S13" s="11"/>
      <c r="T13" s="11"/>
      <c r="U13" s="16"/>
      <c r="V13" s="190"/>
      <c r="W13" s="11"/>
      <c r="X13" s="11"/>
      <c r="Y13" s="11"/>
      <c r="Z13" s="11"/>
      <c r="AA13" s="16"/>
      <c r="AB13" s="8">
        <v>2458939.6765199997</v>
      </c>
      <c r="AC13" s="9">
        <v>2238278</v>
      </c>
      <c r="AD13" s="9">
        <v>2238278</v>
      </c>
      <c r="AE13" s="9">
        <v>2196292</v>
      </c>
      <c r="AF13" s="9">
        <f>1677261.68+AR13+AS13</f>
        <v>2109525.39</v>
      </c>
      <c r="AG13" s="10">
        <f>+AS13</f>
        <v>288520.15999999997</v>
      </c>
      <c r="AH13" s="43">
        <v>139001.88</v>
      </c>
      <c r="AI13" s="11">
        <v>144204.57</v>
      </c>
      <c r="AJ13" s="11">
        <v>163712.32999999999</v>
      </c>
      <c r="AK13" s="11">
        <v>175199.05</v>
      </c>
      <c r="AL13" s="11">
        <v>173672.86</v>
      </c>
      <c r="AM13" s="11">
        <f>8890+9326.5</f>
        <v>18216.5</v>
      </c>
      <c r="AN13" s="11">
        <v>133073.82</v>
      </c>
      <c r="AO13" s="11">
        <v>6415</v>
      </c>
      <c r="AP13" s="11">
        <v>6415</v>
      </c>
      <c r="AQ13" s="11">
        <v>150219.04</v>
      </c>
      <c r="AR13" s="11">
        <v>143743.54999999999</v>
      </c>
      <c r="AS13" s="16">
        <v>288520.15999999997</v>
      </c>
      <c r="AT13" s="130"/>
      <c r="AU13" s="11"/>
      <c r="AV13" s="11"/>
      <c r="AW13" s="11"/>
      <c r="AX13" s="11"/>
      <c r="AY13" s="11"/>
      <c r="AZ13" s="11"/>
      <c r="BA13" s="11"/>
      <c r="BB13" s="11"/>
    </row>
    <row r="14" spans="1:54" s="131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3" t="s">
        <v>126</v>
      </c>
      <c r="I14" s="47" t="s">
        <v>101</v>
      </c>
      <c r="J14" s="8">
        <f>SUM(J15:J17)</f>
        <v>997</v>
      </c>
      <c r="K14" s="9">
        <f>SUM(K15:K17)</f>
        <v>997</v>
      </c>
      <c r="L14" s="9">
        <f>SUM(L15:L17)</f>
        <v>997</v>
      </c>
      <c r="M14" s="9">
        <f>SUM(M15:M17)</f>
        <v>997</v>
      </c>
      <c r="N14" s="9">
        <f>SUM(P14:AA14)</f>
        <v>993</v>
      </c>
      <c r="O14" s="9">
        <f>+AA14</f>
        <v>32</v>
      </c>
      <c r="P14" s="8">
        <f t="shared" ref="P14:W14" si="1">P15+P16+P17</f>
        <v>0</v>
      </c>
      <c r="Q14" s="9">
        <f t="shared" si="1"/>
        <v>196</v>
      </c>
      <c r="R14" s="9">
        <f t="shared" si="1"/>
        <v>100</v>
      </c>
      <c r="S14" s="9">
        <f t="shared" si="1"/>
        <v>100</v>
      </c>
      <c r="T14" s="9">
        <f t="shared" si="1"/>
        <v>91</v>
      </c>
      <c r="U14" s="10">
        <v>90</v>
      </c>
      <c r="V14" s="160">
        <v>85</v>
      </c>
      <c r="W14" s="9">
        <f t="shared" si="1"/>
        <v>86</v>
      </c>
      <c r="X14" s="9">
        <v>85</v>
      </c>
      <c r="Y14" s="9">
        <v>76</v>
      </c>
      <c r="Z14" s="9">
        <v>52</v>
      </c>
      <c r="AA14" s="10">
        <v>32</v>
      </c>
      <c r="AB14" s="8"/>
      <c r="AC14" s="9"/>
      <c r="AD14" s="9"/>
      <c r="AE14" s="9"/>
      <c r="AF14" s="9"/>
      <c r="AG14" s="10"/>
      <c r="AH14" s="8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130"/>
      <c r="AU14" s="9">
        <v>1016.94</v>
      </c>
      <c r="AV14" s="9">
        <v>2704833.6441720012</v>
      </c>
      <c r="AW14" s="9">
        <v>1037.2788</v>
      </c>
      <c r="AX14" s="9">
        <v>2975317.0085892016</v>
      </c>
      <c r="AY14" s="9">
        <v>1058.0243760000001</v>
      </c>
      <c r="AZ14" s="9">
        <v>3272848.709448122</v>
      </c>
      <c r="BA14" s="9">
        <v>1079.1848635200001</v>
      </c>
      <c r="BB14" s="9">
        <v>3600133.5803929344</v>
      </c>
    </row>
    <row r="15" spans="1:54" s="131" customFormat="1" ht="27" x14ac:dyDescent="0.25">
      <c r="A15" s="4"/>
      <c r="B15" s="5"/>
      <c r="C15" s="5"/>
      <c r="D15" s="5"/>
      <c r="E15" s="5"/>
      <c r="F15" s="5"/>
      <c r="G15" s="6">
        <v>4</v>
      </c>
      <c r="H15" s="110" t="s">
        <v>127</v>
      </c>
      <c r="I15" s="85" t="s">
        <v>101</v>
      </c>
      <c r="J15" s="43">
        <v>790</v>
      </c>
      <c r="K15" s="11">
        <v>790</v>
      </c>
      <c r="L15" s="11">
        <v>790</v>
      </c>
      <c r="M15" s="11">
        <v>790</v>
      </c>
      <c r="N15" s="11">
        <f>SUM(P15:AA15)</f>
        <v>786</v>
      </c>
      <c r="O15" s="9">
        <f>+AA15</f>
        <v>20</v>
      </c>
      <c r="P15" s="43">
        <v>0</v>
      </c>
      <c r="Q15" s="11">
        <v>156</v>
      </c>
      <c r="R15" s="11">
        <v>80</v>
      </c>
      <c r="S15" s="11">
        <v>80</v>
      </c>
      <c r="T15" s="11">
        <v>70</v>
      </c>
      <c r="U15" s="16">
        <v>70</v>
      </c>
      <c r="V15" s="190">
        <v>70</v>
      </c>
      <c r="W15" s="11">
        <v>70</v>
      </c>
      <c r="X15" s="11">
        <v>70</v>
      </c>
      <c r="Y15" s="11">
        <v>60</v>
      </c>
      <c r="Z15" s="11">
        <v>40</v>
      </c>
      <c r="AA15" s="16">
        <v>20</v>
      </c>
      <c r="AB15" s="8"/>
      <c r="AC15" s="9"/>
      <c r="AD15" s="9"/>
      <c r="AE15" s="9"/>
      <c r="AF15" s="9"/>
      <c r="AG15" s="10"/>
      <c r="AH15" s="8"/>
      <c r="AI15" s="9"/>
      <c r="AJ15" s="9"/>
      <c r="AK15" s="11"/>
      <c r="AL15" s="11"/>
      <c r="AM15" s="11"/>
      <c r="AN15" s="11"/>
      <c r="AO15" s="11"/>
      <c r="AP15" s="11"/>
      <c r="AQ15" s="11"/>
      <c r="AR15" s="11">
        <v>7115</v>
      </c>
      <c r="AS15" s="16"/>
      <c r="AT15" s="130"/>
      <c r="AU15" s="11"/>
      <c r="AV15" s="11"/>
      <c r="AW15" s="11"/>
      <c r="AX15" s="11"/>
      <c r="AY15" s="11"/>
      <c r="AZ15" s="11"/>
      <c r="BA15" s="11"/>
      <c r="BB15" s="11"/>
    </row>
    <row r="16" spans="1:54" s="131" customFormat="1" x14ac:dyDescent="0.25">
      <c r="A16" s="4"/>
      <c r="B16" s="5"/>
      <c r="C16" s="5"/>
      <c r="D16" s="5"/>
      <c r="E16" s="5"/>
      <c r="F16" s="5"/>
      <c r="G16" s="6">
        <v>5</v>
      </c>
      <c r="H16" s="110" t="s">
        <v>128</v>
      </c>
      <c r="I16" s="85" t="s">
        <v>101</v>
      </c>
      <c r="J16" s="43">
        <v>3</v>
      </c>
      <c r="K16" s="11">
        <v>3</v>
      </c>
      <c r="L16" s="11">
        <v>3</v>
      </c>
      <c r="M16" s="11">
        <v>3</v>
      </c>
      <c r="N16" s="11">
        <f>SUM(P16:AA16)</f>
        <v>3</v>
      </c>
      <c r="O16" s="9">
        <f>+AA16</f>
        <v>0</v>
      </c>
      <c r="P16" s="43">
        <v>0</v>
      </c>
      <c r="Q16" s="11">
        <v>0</v>
      </c>
      <c r="R16" s="11">
        <v>0</v>
      </c>
      <c r="S16" s="11">
        <v>0</v>
      </c>
      <c r="T16" s="11">
        <v>1</v>
      </c>
      <c r="U16" s="16">
        <v>0</v>
      </c>
      <c r="V16" s="190">
        <v>0</v>
      </c>
      <c r="W16" s="11">
        <v>1</v>
      </c>
      <c r="X16" s="11">
        <v>0</v>
      </c>
      <c r="Y16" s="11">
        <v>1</v>
      </c>
      <c r="Z16" s="11">
        <v>0</v>
      </c>
      <c r="AA16" s="16">
        <v>0</v>
      </c>
      <c r="AB16" s="8"/>
      <c r="AC16" s="9"/>
      <c r="AD16" s="9"/>
      <c r="AE16" s="9"/>
      <c r="AF16" s="9"/>
      <c r="AG16" s="10"/>
      <c r="AH16" s="8"/>
      <c r="AI16" s="9"/>
      <c r="AJ16" s="9"/>
      <c r="AK16" s="11"/>
      <c r="AL16" s="11"/>
      <c r="AM16" s="11"/>
      <c r="AN16" s="11"/>
      <c r="AO16" s="11"/>
      <c r="AP16" s="11"/>
      <c r="AQ16" s="11"/>
      <c r="AR16" s="11"/>
      <c r="AS16" s="16"/>
      <c r="AT16" s="130"/>
      <c r="AU16" s="11"/>
      <c r="AV16" s="11"/>
      <c r="AW16" s="11"/>
      <c r="AX16" s="11"/>
      <c r="AY16" s="11"/>
      <c r="AZ16" s="11"/>
      <c r="BA16" s="11"/>
      <c r="BB16" s="11"/>
    </row>
    <row r="17" spans="1:54" s="131" customFormat="1" x14ac:dyDescent="0.25">
      <c r="A17" s="4"/>
      <c r="B17" s="5"/>
      <c r="C17" s="5"/>
      <c r="D17" s="5"/>
      <c r="E17" s="5"/>
      <c r="F17" s="5"/>
      <c r="G17" s="6">
        <v>6</v>
      </c>
      <c r="H17" s="110" t="s">
        <v>129</v>
      </c>
      <c r="I17" s="85" t="s">
        <v>101</v>
      </c>
      <c r="J17" s="43">
        <v>204</v>
      </c>
      <c r="K17" s="11">
        <v>204</v>
      </c>
      <c r="L17" s="11">
        <v>204</v>
      </c>
      <c r="M17" s="11">
        <v>204</v>
      </c>
      <c r="N17" s="11">
        <f>SUM(P17:AA17)</f>
        <v>204</v>
      </c>
      <c r="O17" s="9">
        <f>+AA17</f>
        <v>12</v>
      </c>
      <c r="P17" s="43">
        <v>0</v>
      </c>
      <c r="Q17" s="11">
        <v>40</v>
      </c>
      <c r="R17" s="11">
        <v>20</v>
      </c>
      <c r="S17" s="11">
        <v>20</v>
      </c>
      <c r="T17" s="11">
        <v>20</v>
      </c>
      <c r="U17" s="16">
        <v>20</v>
      </c>
      <c r="V17" s="190">
        <v>15</v>
      </c>
      <c r="W17" s="11">
        <v>15</v>
      </c>
      <c r="X17" s="11">
        <v>15</v>
      </c>
      <c r="Y17" s="11">
        <v>15</v>
      </c>
      <c r="Z17" s="11">
        <v>12</v>
      </c>
      <c r="AA17" s="16">
        <v>12</v>
      </c>
      <c r="AB17" s="8"/>
      <c r="AC17" s="9"/>
      <c r="AD17" s="9"/>
      <c r="AE17" s="9"/>
      <c r="AF17" s="9"/>
      <c r="AG17" s="10"/>
      <c r="AH17" s="8"/>
      <c r="AI17" s="9"/>
      <c r="AJ17" s="9"/>
      <c r="AK17" s="11"/>
      <c r="AL17" s="11"/>
      <c r="AM17" s="11"/>
      <c r="AN17" s="11"/>
      <c r="AO17" s="11"/>
      <c r="AP17" s="11"/>
      <c r="AQ17" s="11"/>
      <c r="AR17" s="11">
        <v>868</v>
      </c>
      <c r="AS17" s="16"/>
      <c r="AT17" s="130"/>
      <c r="AU17" s="11"/>
      <c r="AV17" s="11"/>
      <c r="AW17" s="11"/>
      <c r="AX17" s="11"/>
      <c r="AY17" s="11"/>
      <c r="AZ17" s="11"/>
      <c r="BA17" s="11"/>
      <c r="BB17" s="11"/>
    </row>
    <row r="18" spans="1:54" s="131" customFormat="1" x14ac:dyDescent="0.25">
      <c r="A18" s="4"/>
      <c r="B18" s="5"/>
      <c r="C18" s="5"/>
      <c r="D18" s="5"/>
      <c r="E18" s="5">
        <v>3</v>
      </c>
      <c r="F18" s="5">
        <v>0</v>
      </c>
      <c r="G18" s="5"/>
      <c r="H18" s="53" t="s">
        <v>130</v>
      </c>
      <c r="I18" s="85"/>
      <c r="J18" s="43"/>
      <c r="K18" s="11"/>
      <c r="L18" s="11"/>
      <c r="M18" s="11"/>
      <c r="N18" s="11"/>
      <c r="O18" s="9"/>
      <c r="P18" s="43"/>
      <c r="Q18" s="11"/>
      <c r="R18" s="11"/>
      <c r="S18" s="11"/>
      <c r="T18" s="11"/>
      <c r="U18" s="16"/>
      <c r="V18" s="190"/>
      <c r="W18" s="11"/>
      <c r="X18" s="11"/>
      <c r="Y18" s="11"/>
      <c r="Z18" s="11"/>
      <c r="AA18" s="16"/>
      <c r="AB18" s="8">
        <v>13079973.303768009</v>
      </c>
      <c r="AC18" s="9">
        <v>3438575</v>
      </c>
      <c r="AD18" s="9">
        <v>3438575</v>
      </c>
      <c r="AE18" s="9">
        <v>3361885</v>
      </c>
      <c r="AF18" s="9">
        <f>2660683.38+AR18+AS18</f>
        <v>3328414.26</v>
      </c>
      <c r="AG18" s="10">
        <f>+AS18</f>
        <v>404778.51</v>
      </c>
      <c r="AH18" s="43">
        <v>248562.67</v>
      </c>
      <c r="AI18" s="11">
        <v>220802.69</v>
      </c>
      <c r="AJ18" s="11">
        <v>264104.71000000002</v>
      </c>
      <c r="AK18" s="11">
        <v>206421.84</v>
      </c>
      <c r="AL18" s="11">
        <v>263793.18</v>
      </c>
      <c r="AM18" s="11">
        <v>91500.24</v>
      </c>
      <c r="AN18" s="11">
        <v>457678.72</v>
      </c>
      <c r="AO18" s="11">
        <v>28773.03</v>
      </c>
      <c r="AP18" s="11">
        <v>24516.880000000001</v>
      </c>
      <c r="AQ18" s="11">
        <v>370008.55</v>
      </c>
      <c r="AR18" s="11">
        <v>262952.37</v>
      </c>
      <c r="AS18" s="16">
        <v>404778.51</v>
      </c>
      <c r="AT18" s="130"/>
      <c r="AU18" s="11"/>
      <c r="AV18" s="11"/>
      <c r="AW18" s="11"/>
      <c r="AX18" s="11"/>
      <c r="AY18" s="11"/>
      <c r="AZ18" s="11"/>
      <c r="BA18" s="11"/>
      <c r="BB18" s="11"/>
    </row>
    <row r="19" spans="1:54" s="131" customFormat="1" x14ac:dyDescent="0.25">
      <c r="A19" s="4">
        <v>4</v>
      </c>
      <c r="B19" s="5"/>
      <c r="C19" s="5"/>
      <c r="D19" s="5"/>
      <c r="E19" s="5"/>
      <c r="F19" s="5"/>
      <c r="G19" s="5">
        <v>1</v>
      </c>
      <c r="H19" s="53" t="s">
        <v>131</v>
      </c>
      <c r="I19" s="47" t="s">
        <v>34</v>
      </c>
      <c r="J19" s="8">
        <f>SUM(J20:J22)</f>
        <v>298888</v>
      </c>
      <c r="K19" s="9">
        <f>SUM(K20:K22)</f>
        <v>55000</v>
      </c>
      <c r="L19" s="9">
        <f>SUM(L20:L22)</f>
        <v>55000</v>
      </c>
      <c r="M19" s="9">
        <v>78687</v>
      </c>
      <c r="N19" s="9">
        <f>58230+Z19+AA19</f>
        <v>78687</v>
      </c>
      <c r="O19" s="9">
        <f>+AA19</f>
        <v>10227</v>
      </c>
      <c r="P19" s="8">
        <f t="shared" ref="P19:W19" si="2">SUM(P20:P22)</f>
        <v>0</v>
      </c>
      <c r="Q19" s="9">
        <f t="shared" si="2"/>
        <v>9378</v>
      </c>
      <c r="R19" s="9">
        <f t="shared" si="2"/>
        <v>4683</v>
      </c>
      <c r="S19" s="9">
        <f t="shared" si="2"/>
        <v>4686</v>
      </c>
      <c r="T19" s="9">
        <f t="shared" si="2"/>
        <v>4759</v>
      </c>
      <c r="U19" s="10">
        <v>4759</v>
      </c>
      <c r="V19" s="160">
        <v>4755</v>
      </c>
      <c r="W19" s="9">
        <f t="shared" si="2"/>
        <v>5134</v>
      </c>
      <c r="X19" s="9">
        <v>10235</v>
      </c>
      <c r="Y19" s="9">
        <v>10230</v>
      </c>
      <c r="Z19" s="9">
        <v>10230</v>
      </c>
      <c r="AA19" s="10">
        <v>10227</v>
      </c>
      <c r="AB19" s="8"/>
      <c r="AC19" s="9"/>
      <c r="AD19" s="9"/>
      <c r="AE19" s="9"/>
      <c r="AF19" s="9"/>
      <c r="AG19" s="10"/>
      <c r="AH19" s="8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10"/>
      <c r="AT19" s="130"/>
      <c r="AU19" s="9">
        <v>304865.76</v>
      </c>
      <c r="AV19" s="9">
        <v>14437826.846145298</v>
      </c>
      <c r="AW19" s="9">
        <v>310963.07519999996</v>
      </c>
      <c r="AX19" s="9">
        <v>15983793.132719483</v>
      </c>
      <c r="AY19" s="9">
        <v>317182.33670400007</v>
      </c>
      <c r="AZ19" s="9">
        <v>17628282.783954918</v>
      </c>
      <c r="BA19" s="9">
        <v>323525.98343808006</v>
      </c>
      <c r="BB19" s="9">
        <v>19391111.062350415</v>
      </c>
    </row>
    <row r="20" spans="1:54" s="131" customFormat="1" x14ac:dyDescent="0.25">
      <c r="A20" s="4"/>
      <c r="B20" s="5"/>
      <c r="C20" s="5"/>
      <c r="D20" s="5"/>
      <c r="E20" s="5"/>
      <c r="F20" s="5"/>
      <c r="G20" s="6">
        <v>2</v>
      </c>
      <c r="H20" s="110" t="s">
        <v>132</v>
      </c>
      <c r="I20" s="85" t="s">
        <v>34</v>
      </c>
      <c r="J20" s="43">
        <v>9586</v>
      </c>
      <c r="K20" s="11">
        <v>2818</v>
      </c>
      <c r="L20" s="11">
        <v>2818</v>
      </c>
      <c r="M20" s="11">
        <v>2818</v>
      </c>
      <c r="N20" s="11">
        <f>SUM(P20:AA20)</f>
        <v>2818</v>
      </c>
      <c r="O20" s="9">
        <f>+AA20</f>
        <v>233</v>
      </c>
      <c r="P20" s="43">
        <v>0</v>
      </c>
      <c r="Q20" s="11">
        <v>470</v>
      </c>
      <c r="R20" s="11">
        <v>235</v>
      </c>
      <c r="S20" s="11">
        <v>235</v>
      </c>
      <c r="T20" s="11">
        <v>235</v>
      </c>
      <c r="U20" s="16">
        <v>235</v>
      </c>
      <c r="V20" s="190">
        <v>235</v>
      </c>
      <c r="W20" s="11">
        <v>235</v>
      </c>
      <c r="X20" s="11">
        <v>235</v>
      </c>
      <c r="Y20" s="11">
        <v>235</v>
      </c>
      <c r="Z20" s="11">
        <v>235</v>
      </c>
      <c r="AA20" s="16">
        <v>233</v>
      </c>
      <c r="AB20" s="43"/>
      <c r="AC20" s="11"/>
      <c r="AD20" s="11"/>
      <c r="AE20" s="11"/>
      <c r="AF20" s="11"/>
      <c r="AG20" s="16"/>
      <c r="AH20" s="43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6"/>
      <c r="AT20" s="130"/>
      <c r="AU20" s="11"/>
      <c r="AV20" s="11"/>
      <c r="AW20" s="11"/>
      <c r="AX20" s="11"/>
      <c r="AY20" s="11"/>
      <c r="AZ20" s="11"/>
      <c r="BA20" s="11"/>
      <c r="BB20" s="11"/>
    </row>
    <row r="21" spans="1:54" s="131" customFormat="1" x14ac:dyDescent="0.25">
      <c r="A21" s="4"/>
      <c r="B21" s="5"/>
      <c r="C21" s="5"/>
      <c r="D21" s="5"/>
      <c r="E21" s="5"/>
      <c r="F21" s="5"/>
      <c r="G21" s="6">
        <v>3</v>
      </c>
      <c r="H21" s="110" t="s">
        <v>133</v>
      </c>
      <c r="I21" s="85" t="s">
        <v>34</v>
      </c>
      <c r="J21" s="43">
        <v>57002</v>
      </c>
      <c r="K21" s="11">
        <v>11882</v>
      </c>
      <c r="L21" s="11">
        <v>11882</v>
      </c>
      <c r="M21" s="11">
        <v>11882</v>
      </c>
      <c r="N21" s="11">
        <f>9890+Z21+AA21</f>
        <v>11882</v>
      </c>
      <c r="O21" s="9">
        <f>+AA21</f>
        <v>996</v>
      </c>
      <c r="P21" s="43">
        <v>0</v>
      </c>
      <c r="Q21" s="11">
        <v>1910</v>
      </c>
      <c r="R21" s="11">
        <v>953</v>
      </c>
      <c r="S21" s="11">
        <v>956</v>
      </c>
      <c r="T21" s="11">
        <v>1021</v>
      </c>
      <c r="U21" s="16">
        <v>1021</v>
      </c>
      <c r="V21" s="190">
        <v>1021</v>
      </c>
      <c r="W21" s="11">
        <v>1400</v>
      </c>
      <c r="X21" s="11">
        <v>1001</v>
      </c>
      <c r="Y21" s="11">
        <v>996</v>
      </c>
      <c r="Z21" s="11">
        <v>996</v>
      </c>
      <c r="AA21" s="16">
        <v>996</v>
      </c>
      <c r="AB21" s="43"/>
      <c r="AC21" s="11"/>
      <c r="AD21" s="11"/>
      <c r="AE21" s="11"/>
      <c r="AF21" s="11"/>
      <c r="AG21" s="16"/>
      <c r="AH21" s="43"/>
      <c r="AI21" s="11"/>
      <c r="AJ21" s="11"/>
      <c r="AK21" s="11"/>
      <c r="AL21" s="11"/>
      <c r="AM21" s="11"/>
      <c r="AN21" s="11"/>
      <c r="AO21" s="11"/>
      <c r="AP21" s="11"/>
      <c r="AQ21" s="11"/>
      <c r="AR21" s="11">
        <v>42146.28</v>
      </c>
      <c r="AS21" s="16"/>
      <c r="AT21" s="130"/>
      <c r="AU21" s="11"/>
      <c r="AV21" s="11"/>
      <c r="AW21" s="11"/>
      <c r="AX21" s="11"/>
      <c r="AY21" s="11"/>
      <c r="AZ21" s="11"/>
      <c r="BA21" s="11"/>
      <c r="BB21" s="11"/>
    </row>
    <row r="22" spans="1:54" s="131" customFormat="1" ht="27.75" thickBot="1" x14ac:dyDescent="0.3">
      <c r="A22" s="102"/>
      <c r="B22" s="109"/>
      <c r="C22" s="109"/>
      <c r="D22" s="109"/>
      <c r="E22" s="109"/>
      <c r="F22" s="109"/>
      <c r="G22" s="61">
        <v>4</v>
      </c>
      <c r="H22" s="62" t="s">
        <v>134</v>
      </c>
      <c r="I22" s="121" t="s">
        <v>34</v>
      </c>
      <c r="J22" s="44">
        <v>232300</v>
      </c>
      <c r="K22" s="15">
        <v>40300</v>
      </c>
      <c r="L22" s="15">
        <v>40300</v>
      </c>
      <c r="M22" s="15">
        <v>63987</v>
      </c>
      <c r="N22" s="15">
        <f>SUM(P22:AA22)</f>
        <v>63987</v>
      </c>
      <c r="O22" s="9">
        <f>+AA22</f>
        <v>8998</v>
      </c>
      <c r="P22" s="44">
        <v>0</v>
      </c>
      <c r="Q22" s="15">
        <v>6998</v>
      </c>
      <c r="R22" s="15">
        <v>3495</v>
      </c>
      <c r="S22" s="15">
        <v>3495</v>
      </c>
      <c r="T22" s="15">
        <v>3503</v>
      </c>
      <c r="U22" s="17">
        <v>3503</v>
      </c>
      <c r="V22" s="191">
        <v>3499</v>
      </c>
      <c r="W22" s="15">
        <v>3499</v>
      </c>
      <c r="X22" s="15">
        <v>8999</v>
      </c>
      <c r="Y22" s="15">
        <v>8999</v>
      </c>
      <c r="Z22" s="15">
        <v>8999</v>
      </c>
      <c r="AA22" s="17">
        <v>8998</v>
      </c>
      <c r="AB22" s="44"/>
      <c r="AC22" s="15"/>
      <c r="AD22" s="15"/>
      <c r="AE22" s="15"/>
      <c r="AF22" s="15"/>
      <c r="AG22" s="17"/>
      <c r="AH22" s="44"/>
      <c r="AI22" s="15"/>
      <c r="AJ22" s="15"/>
      <c r="AK22" s="15"/>
      <c r="AL22" s="15"/>
      <c r="AM22" s="15"/>
      <c r="AN22" s="15"/>
      <c r="AO22" s="15"/>
      <c r="AP22" s="15"/>
      <c r="AQ22" s="15"/>
      <c r="AR22" s="15">
        <v>33347.699999999997</v>
      </c>
      <c r="AS22" s="17"/>
      <c r="AT22" s="130"/>
      <c r="AU22" s="11"/>
      <c r="AV22" s="11"/>
      <c r="AW22" s="11"/>
      <c r="AX22" s="11"/>
      <c r="AY22" s="11"/>
      <c r="AZ22" s="11"/>
      <c r="BA22" s="11"/>
      <c r="BB22" s="11"/>
    </row>
    <row r="23" spans="1:54" s="131" customFormat="1" x14ac:dyDescent="0.25"/>
    <row r="24" spans="1:54" s="131" customFormat="1" x14ac:dyDescent="0.25"/>
    <row r="25" spans="1:54" s="131" customFormat="1" x14ac:dyDescent="0.25">
      <c r="H25" s="131" t="s">
        <v>223</v>
      </c>
    </row>
    <row r="26" spans="1:54" x14ac:dyDescent="0.25">
      <c r="H26" s="131" t="s">
        <v>221</v>
      </c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C56"/>
  <sheetViews>
    <sheetView zoomScale="85" zoomScaleNormal="85" workbookViewId="0">
      <pane xSplit="8" ySplit="6" topLeftCell="I7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P1" sqref="AP1:AS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3" width="13.7109375" customWidth="1"/>
    <col min="34" max="45" width="13.7109375" hidden="1" customWidth="1"/>
    <col min="46" max="46" width="11.5703125" bestFit="1" customWidth="1"/>
    <col min="48" max="48" width="10.7109375" customWidth="1"/>
    <col min="49" max="49" width="13.7109375" customWidth="1"/>
    <col min="50" max="50" width="10.7109375" customWidth="1"/>
    <col min="51" max="51" width="13.7109375" customWidth="1"/>
    <col min="52" max="52" width="10.7109375" customWidth="1"/>
    <col min="53" max="53" width="13.7109375" customWidth="1"/>
    <col min="54" max="54" width="10.7109375" customWidth="1"/>
    <col min="55" max="55" width="13.7109375" customWidth="1"/>
  </cols>
  <sheetData>
    <row r="1" spans="1:55" ht="15" customHeight="1" x14ac:dyDescent="0.25">
      <c r="A1" s="32" t="s">
        <v>49</v>
      </c>
    </row>
    <row r="2" spans="1:55" ht="15" customHeight="1" x14ac:dyDescent="0.25">
      <c r="A2" s="32" t="s">
        <v>50</v>
      </c>
    </row>
    <row r="3" spans="1:55" ht="15" customHeight="1" x14ac:dyDescent="0.25">
      <c r="A3" s="32" t="str">
        <f>+'207. DGRTN'!A3</f>
        <v>EJERCICIO FISCAL 2022 - ACTUALIZADA DICIEMBRE</v>
      </c>
    </row>
    <row r="4" spans="1:55" ht="15" customHeight="1" thickBot="1" x14ac:dyDescent="0.3"/>
    <row r="5" spans="1:55" s="111" customFormat="1" x14ac:dyDescent="0.25">
      <c r="A5" s="327" t="s">
        <v>135</v>
      </c>
      <c r="B5" s="328"/>
      <c r="C5" s="328"/>
      <c r="D5" s="328"/>
      <c r="E5" s="328"/>
      <c r="F5" s="328"/>
      <c r="G5" s="328"/>
      <c r="H5" s="328"/>
      <c r="I5" s="328"/>
      <c r="J5" s="329" t="s">
        <v>1</v>
      </c>
      <c r="K5" s="329"/>
      <c r="L5" s="329"/>
      <c r="M5" s="329"/>
      <c r="N5" s="329"/>
      <c r="O5" s="32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29" t="s">
        <v>117</v>
      </c>
      <c r="AC5" s="329"/>
      <c r="AD5" s="329"/>
      <c r="AE5" s="329"/>
      <c r="AF5" s="329"/>
      <c r="AG5" s="330"/>
      <c r="AH5" s="15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132"/>
      <c r="AU5" s="132"/>
      <c r="AV5" s="326" t="s">
        <v>51</v>
      </c>
      <c r="AW5" s="326"/>
      <c r="AX5" s="326" t="s">
        <v>52</v>
      </c>
      <c r="AY5" s="326"/>
      <c r="AZ5" s="326" t="s">
        <v>53</v>
      </c>
      <c r="BA5" s="326"/>
      <c r="BB5" s="326" t="s">
        <v>55</v>
      </c>
      <c r="BC5" s="326"/>
    </row>
    <row r="6" spans="1:55" s="113" customFormat="1" ht="36.75" thickBot="1" x14ac:dyDescent="0.3">
      <c r="A6" s="238" t="s">
        <v>3</v>
      </c>
      <c r="B6" s="229" t="s">
        <v>4</v>
      </c>
      <c r="C6" s="229" t="s">
        <v>5</v>
      </c>
      <c r="D6" s="229" t="s">
        <v>6</v>
      </c>
      <c r="E6" s="229" t="s">
        <v>7</v>
      </c>
      <c r="F6" s="229" t="s">
        <v>8</v>
      </c>
      <c r="G6" s="229" t="s">
        <v>9</v>
      </c>
      <c r="H6" s="230" t="s">
        <v>10</v>
      </c>
      <c r="I6" s="231" t="s">
        <v>11</v>
      </c>
      <c r="J6" s="232" t="s">
        <v>12</v>
      </c>
      <c r="K6" s="232" t="s">
        <v>65</v>
      </c>
      <c r="L6" s="232" t="s">
        <v>13</v>
      </c>
      <c r="M6" s="232" t="s">
        <v>14</v>
      </c>
      <c r="N6" s="233" t="s">
        <v>15</v>
      </c>
      <c r="O6" s="233" t="s">
        <v>16</v>
      </c>
      <c r="P6" s="233" t="s">
        <v>17</v>
      </c>
      <c r="Q6" s="233" t="s">
        <v>18</v>
      </c>
      <c r="R6" s="233" t="s">
        <v>19</v>
      </c>
      <c r="S6" s="233" t="s">
        <v>20</v>
      </c>
      <c r="T6" s="233" t="s">
        <v>21</v>
      </c>
      <c r="U6" s="233" t="s">
        <v>22</v>
      </c>
      <c r="V6" s="233" t="s">
        <v>23</v>
      </c>
      <c r="W6" s="233" t="s">
        <v>24</v>
      </c>
      <c r="X6" s="233" t="s">
        <v>25</v>
      </c>
      <c r="Y6" s="233" t="s">
        <v>26</v>
      </c>
      <c r="Z6" s="233" t="s">
        <v>27</v>
      </c>
      <c r="AA6" s="233" t="s">
        <v>28</v>
      </c>
      <c r="AB6" s="232" t="s">
        <v>12</v>
      </c>
      <c r="AC6" s="232" t="s">
        <v>65</v>
      </c>
      <c r="AD6" s="232" t="s">
        <v>13</v>
      </c>
      <c r="AE6" s="232" t="s">
        <v>14</v>
      </c>
      <c r="AF6" s="233" t="s">
        <v>15</v>
      </c>
      <c r="AG6" s="239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133"/>
      <c r="AU6" s="133"/>
      <c r="AV6" s="68" t="s">
        <v>54</v>
      </c>
      <c r="AW6" s="68" t="s">
        <v>2</v>
      </c>
      <c r="AX6" s="68" t="s">
        <v>54</v>
      </c>
      <c r="AY6" s="68" t="s">
        <v>2</v>
      </c>
      <c r="AZ6" s="68" t="s">
        <v>54</v>
      </c>
      <c r="BA6" s="68" t="s">
        <v>2</v>
      </c>
      <c r="BB6" s="68" t="s">
        <v>54</v>
      </c>
      <c r="BC6" s="68" t="s">
        <v>2</v>
      </c>
    </row>
    <row r="7" spans="1:55" s="111" customFormat="1" x14ac:dyDescent="0.25">
      <c r="A7" s="4"/>
      <c r="B7" s="5">
        <v>21</v>
      </c>
      <c r="C7" s="5"/>
      <c r="D7" s="5"/>
      <c r="E7" s="5"/>
      <c r="F7" s="5"/>
      <c r="G7" s="5"/>
      <c r="H7" s="53" t="s">
        <v>136</v>
      </c>
      <c r="I7" s="199"/>
      <c r="J7" s="9"/>
      <c r="K7" s="9"/>
      <c r="L7" s="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  <c r="AF7" s="11"/>
      <c r="AG7" s="16"/>
      <c r="AH7" s="189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32"/>
      <c r="AU7" s="132"/>
      <c r="AV7" s="11"/>
      <c r="AW7" s="11"/>
      <c r="AX7" s="11"/>
      <c r="AY7" s="11"/>
      <c r="AZ7" s="11"/>
      <c r="BA7" s="11"/>
      <c r="BB7" s="11"/>
      <c r="BC7" s="11"/>
    </row>
    <row r="8" spans="1:55" s="111" customFormat="1" x14ac:dyDescent="0.25">
      <c r="A8" s="4"/>
      <c r="B8" s="5"/>
      <c r="C8" s="5">
        <v>0</v>
      </c>
      <c r="D8" s="5"/>
      <c r="E8" s="5"/>
      <c r="F8" s="5"/>
      <c r="G8" s="5"/>
      <c r="H8" s="53" t="s">
        <v>30</v>
      </c>
      <c r="I8" s="19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6"/>
      <c r="AH8" s="190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32"/>
      <c r="AU8" s="132"/>
      <c r="AV8" s="11"/>
      <c r="AW8" s="11"/>
      <c r="AX8" s="11"/>
      <c r="AY8" s="11"/>
      <c r="AZ8" s="11"/>
      <c r="BA8" s="11"/>
      <c r="BB8" s="11"/>
      <c r="BC8" s="11"/>
    </row>
    <row r="9" spans="1:55" s="111" customFormat="1" x14ac:dyDescent="0.25">
      <c r="A9" s="4"/>
      <c r="B9" s="5"/>
      <c r="C9" s="5"/>
      <c r="D9" s="5">
        <v>0</v>
      </c>
      <c r="E9" s="5"/>
      <c r="F9" s="5"/>
      <c r="G9" s="5"/>
      <c r="H9" s="53" t="s">
        <v>31</v>
      </c>
      <c r="I9" s="19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9"/>
      <c r="AC9" s="9"/>
      <c r="AD9" s="9"/>
      <c r="AE9" s="9"/>
      <c r="AF9" s="9"/>
      <c r="AG9" s="10"/>
      <c r="AH9" s="160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32"/>
      <c r="AU9" s="132"/>
      <c r="AV9" s="11"/>
      <c r="AW9" s="11"/>
      <c r="AX9" s="11"/>
      <c r="AY9" s="11"/>
      <c r="AZ9" s="11"/>
      <c r="BA9" s="11"/>
      <c r="BB9" s="11"/>
      <c r="BC9" s="11"/>
    </row>
    <row r="10" spans="1:55" s="111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3" t="s">
        <v>59</v>
      </c>
      <c r="I10" s="19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>
        <v>9395371</v>
      </c>
      <c r="AC10" s="9">
        <v>7746848</v>
      </c>
      <c r="AD10" s="9">
        <v>7746848</v>
      </c>
      <c r="AE10" s="9">
        <v>6700592</v>
      </c>
      <c r="AF10" s="9">
        <f>4755342.03+AR10+AS10</f>
        <v>6028383</v>
      </c>
      <c r="AG10" s="10">
        <f>+AS10</f>
        <v>791728.39</v>
      </c>
      <c r="AH10" s="190">
        <v>319928.96999999997</v>
      </c>
      <c r="AI10" s="11">
        <v>399758.33</v>
      </c>
      <c r="AJ10" s="11">
        <v>439159.07</v>
      </c>
      <c r="AK10" s="11">
        <v>464265.41</v>
      </c>
      <c r="AL10" s="11">
        <v>506671.35999999999</v>
      </c>
      <c r="AM10" s="11">
        <v>185196.3</v>
      </c>
      <c r="AN10" s="11">
        <v>808915.78</v>
      </c>
      <c r="AO10" s="11">
        <v>76930.55</v>
      </c>
      <c r="AP10" s="11">
        <v>47750.559999999998</v>
      </c>
      <c r="AQ10" s="11">
        <v>538757.86</v>
      </c>
      <c r="AR10" s="11">
        <v>481312.58</v>
      </c>
      <c r="AS10" s="16">
        <v>791728.39</v>
      </c>
      <c r="AT10" s="134"/>
      <c r="AU10" s="132"/>
      <c r="AV10" s="11"/>
      <c r="AW10" s="11"/>
      <c r="AX10" s="11"/>
      <c r="AY10" s="11"/>
      <c r="AZ10" s="11"/>
      <c r="BA10" s="11"/>
      <c r="BB10" s="11"/>
      <c r="BC10" s="11"/>
    </row>
    <row r="11" spans="1:55" s="111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3" t="s">
        <v>60</v>
      </c>
      <c r="I11" s="237" t="s">
        <v>34</v>
      </c>
      <c r="J11" s="9">
        <f>J12</f>
        <v>61</v>
      </c>
      <c r="K11" s="9">
        <f>K12</f>
        <v>53</v>
      </c>
      <c r="L11" s="9">
        <f>L12</f>
        <v>53</v>
      </c>
      <c r="M11" s="9">
        <v>166</v>
      </c>
      <c r="N11" s="9">
        <f>N12</f>
        <v>165</v>
      </c>
      <c r="O11" s="9">
        <f>+AA11</f>
        <v>2</v>
      </c>
      <c r="P11" s="9">
        <f>+P12</f>
        <v>0</v>
      </c>
      <c r="Q11" s="9">
        <f>+Q12</f>
        <v>41</v>
      </c>
      <c r="R11" s="9">
        <f>+R12</f>
        <v>0</v>
      </c>
      <c r="S11" s="9">
        <f>+S12</f>
        <v>0</v>
      </c>
      <c r="T11" s="9">
        <f>SUM(T12)</f>
        <v>2</v>
      </c>
      <c r="U11" s="9">
        <f>U12</f>
        <v>1</v>
      </c>
      <c r="V11" s="9">
        <f t="shared" ref="V11:AA11" si="0">SUM(V12)</f>
        <v>76</v>
      </c>
      <c r="W11" s="9">
        <f t="shared" si="0"/>
        <v>0</v>
      </c>
      <c r="X11" s="9">
        <f t="shared" si="0"/>
        <v>1</v>
      </c>
      <c r="Y11" s="9">
        <v>37</v>
      </c>
      <c r="Z11" s="9">
        <v>5</v>
      </c>
      <c r="AA11" s="9">
        <f t="shared" si="0"/>
        <v>2</v>
      </c>
      <c r="AB11" s="9"/>
      <c r="AC11" s="9"/>
      <c r="AD11" s="9"/>
      <c r="AE11" s="9"/>
      <c r="AF11" s="9"/>
      <c r="AG11" s="10"/>
      <c r="AH11" s="160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132"/>
      <c r="AU11" s="132"/>
      <c r="AV11" s="9">
        <v>64.05</v>
      </c>
      <c r="AW11" s="9">
        <v>9865139.5500000007</v>
      </c>
      <c r="AX11" s="9">
        <v>67.252499999999998</v>
      </c>
      <c r="AY11" s="9">
        <v>10358396.5275</v>
      </c>
      <c r="AZ11" s="9">
        <v>70.615124999999992</v>
      </c>
      <c r="BA11" s="9">
        <v>10876316.353875</v>
      </c>
      <c r="BB11" s="9">
        <v>74.145881249999988</v>
      </c>
      <c r="BC11" s="9">
        <v>11420132.171568749</v>
      </c>
    </row>
    <row r="12" spans="1:55" s="111" customFormat="1" x14ac:dyDescent="0.25">
      <c r="A12" s="4"/>
      <c r="B12" s="5"/>
      <c r="C12" s="5"/>
      <c r="D12" s="5"/>
      <c r="E12" s="5"/>
      <c r="F12" s="5"/>
      <c r="G12" s="6">
        <v>2</v>
      </c>
      <c r="H12" s="110" t="s">
        <v>60</v>
      </c>
      <c r="I12" s="199" t="s">
        <v>34</v>
      </c>
      <c r="J12" s="11">
        <v>61</v>
      </c>
      <c r="K12" s="11">
        <v>53</v>
      </c>
      <c r="L12" s="11">
        <v>53</v>
      </c>
      <c r="M12" s="11">
        <v>166</v>
      </c>
      <c r="N12" s="11">
        <f>158+O12+Z12</f>
        <v>165</v>
      </c>
      <c r="O12" s="9">
        <f>+AA12</f>
        <v>2</v>
      </c>
      <c r="P12" s="11">
        <v>0</v>
      </c>
      <c r="Q12" s="11">
        <v>41</v>
      </c>
      <c r="R12" s="11">
        <v>0</v>
      </c>
      <c r="S12" s="11">
        <v>0</v>
      </c>
      <c r="T12" s="11">
        <v>2</v>
      </c>
      <c r="U12" s="11">
        <v>1</v>
      </c>
      <c r="V12" s="11">
        <v>76</v>
      </c>
      <c r="W12" s="11">
        <v>0</v>
      </c>
      <c r="X12" s="11">
        <v>1</v>
      </c>
      <c r="Y12" s="11">
        <v>37</v>
      </c>
      <c r="Z12" s="11">
        <v>5</v>
      </c>
      <c r="AA12" s="11">
        <v>2</v>
      </c>
      <c r="AB12" s="9"/>
      <c r="AC12" s="9"/>
      <c r="AD12" s="9"/>
      <c r="AE12" s="9"/>
      <c r="AF12" s="9"/>
      <c r="AG12" s="10"/>
      <c r="AH12" s="160"/>
      <c r="AI12" s="9"/>
      <c r="AJ12" s="9"/>
      <c r="AK12" s="11"/>
      <c r="AL12" s="9"/>
      <c r="AM12" s="11"/>
      <c r="AN12" s="11"/>
      <c r="AO12" s="11"/>
      <c r="AP12" s="11"/>
      <c r="AQ12" s="11"/>
      <c r="AR12" s="11"/>
      <c r="AS12" s="16"/>
      <c r="AT12" s="132"/>
      <c r="AU12" s="132"/>
      <c r="AV12" s="9"/>
      <c r="AW12" s="9"/>
      <c r="AX12" s="9"/>
      <c r="AY12" s="9"/>
      <c r="AZ12" s="9"/>
      <c r="BA12" s="9"/>
      <c r="BB12" s="9"/>
      <c r="BC12" s="9"/>
    </row>
    <row r="13" spans="1:55" s="111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3" t="s">
        <v>137</v>
      </c>
      <c r="I13" s="19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1355260</v>
      </c>
      <c r="AC13" s="9">
        <v>1299820</v>
      </c>
      <c r="AD13" s="9">
        <v>1554820</v>
      </c>
      <c r="AE13" s="9">
        <v>1165566</v>
      </c>
      <c r="AF13" s="9">
        <f>776037.49+AR13+AS13</f>
        <v>1075936.4100000001</v>
      </c>
      <c r="AG13" s="10">
        <f>+AS13</f>
        <v>84977.5</v>
      </c>
      <c r="AH13" s="190">
        <v>7795.7</v>
      </c>
      <c r="AI13" s="11">
        <v>89656.8</v>
      </c>
      <c r="AJ13" s="11">
        <v>91735.28</v>
      </c>
      <c r="AK13" s="11">
        <v>71026.55</v>
      </c>
      <c r="AL13" s="11">
        <v>67444.36</v>
      </c>
      <c r="AM13" s="11">
        <v>156670</v>
      </c>
      <c r="AN13" s="11">
        <v>530764.13</v>
      </c>
      <c r="AO13" s="11">
        <v>116444.14</v>
      </c>
      <c r="AP13" s="11">
        <v>75859.14</v>
      </c>
      <c r="AQ13" s="11">
        <v>52970.080000000002</v>
      </c>
      <c r="AR13" s="11">
        <v>214921.42</v>
      </c>
      <c r="AS13" s="16">
        <v>84977.5</v>
      </c>
      <c r="AT13" s="134"/>
      <c r="AU13" s="132"/>
      <c r="AV13" s="9">
        <v>4352</v>
      </c>
      <c r="AW13" s="9">
        <v>1670382.8399999999</v>
      </c>
      <c r="AX13" s="9">
        <v>4558.835</v>
      </c>
      <c r="AY13" s="9">
        <v>1703315.7708000001</v>
      </c>
      <c r="AZ13" s="9">
        <v>4775.9964499999996</v>
      </c>
      <c r="BA13" s="9">
        <v>1737618.875916</v>
      </c>
      <c r="BB13" s="9">
        <v>5004.0003664999995</v>
      </c>
      <c r="BC13" s="9">
        <v>1773355.13461932</v>
      </c>
    </row>
    <row r="14" spans="1:55" s="111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53" t="s">
        <v>138</v>
      </c>
      <c r="I14" s="237" t="s">
        <v>122</v>
      </c>
      <c r="J14" s="9">
        <f t="shared" ref="J14:W14" si="1">J15+J16+J17</f>
        <v>4071</v>
      </c>
      <c r="K14" s="9">
        <f t="shared" si="1"/>
        <v>4071</v>
      </c>
      <c r="L14" s="9">
        <f t="shared" si="1"/>
        <v>4071</v>
      </c>
      <c r="M14" s="9">
        <v>2802</v>
      </c>
      <c r="N14" s="9">
        <f>2190+O14+Z14</f>
        <v>2705</v>
      </c>
      <c r="O14" s="9">
        <f>+AA14</f>
        <v>171</v>
      </c>
      <c r="P14" s="9">
        <f t="shared" si="1"/>
        <v>0</v>
      </c>
      <c r="Q14" s="9">
        <f t="shared" si="1"/>
        <v>173</v>
      </c>
      <c r="R14" s="9">
        <f t="shared" si="1"/>
        <v>276</v>
      </c>
      <c r="S14" s="9">
        <f t="shared" si="1"/>
        <v>146</v>
      </c>
      <c r="T14" s="9">
        <f t="shared" si="1"/>
        <v>241</v>
      </c>
      <c r="U14" s="9">
        <v>244</v>
      </c>
      <c r="V14" s="9">
        <v>217</v>
      </c>
      <c r="W14" s="9">
        <f t="shared" si="1"/>
        <v>224</v>
      </c>
      <c r="X14" s="9">
        <v>392</v>
      </c>
      <c r="Y14" s="9">
        <v>277</v>
      </c>
      <c r="Z14" s="9">
        <v>344</v>
      </c>
      <c r="AA14" s="9">
        <v>171</v>
      </c>
      <c r="AB14" s="9"/>
      <c r="AC14" s="9"/>
      <c r="AD14" s="9"/>
      <c r="AE14" s="9"/>
      <c r="AF14" s="9"/>
      <c r="AG14" s="10"/>
      <c r="AH14" s="160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132"/>
      <c r="AU14" s="132"/>
      <c r="AV14" s="11"/>
      <c r="AW14" s="11"/>
      <c r="AX14" s="11"/>
      <c r="AY14" s="11"/>
      <c r="AZ14" s="11"/>
      <c r="BA14" s="11"/>
      <c r="BB14" s="11"/>
      <c r="BC14" s="11"/>
    </row>
    <row r="15" spans="1:55" s="111" customFormat="1" x14ac:dyDescent="0.25">
      <c r="A15" s="4"/>
      <c r="B15" s="5"/>
      <c r="C15" s="5"/>
      <c r="D15" s="5"/>
      <c r="E15" s="5"/>
      <c r="F15" s="5"/>
      <c r="G15" s="6">
        <v>2</v>
      </c>
      <c r="H15" s="110" t="s">
        <v>139</v>
      </c>
      <c r="I15" s="199" t="s">
        <v>122</v>
      </c>
      <c r="J15" s="11">
        <v>3930</v>
      </c>
      <c r="K15" s="11">
        <v>3930</v>
      </c>
      <c r="L15" s="11">
        <v>3930</v>
      </c>
      <c r="M15" s="11">
        <v>2701</v>
      </c>
      <c r="N15" s="11">
        <f>2128+O15+Z15</f>
        <v>2608</v>
      </c>
      <c r="O15" s="9">
        <f>+AA15</f>
        <v>155</v>
      </c>
      <c r="P15" s="11">
        <v>0</v>
      </c>
      <c r="Q15" s="11">
        <v>170</v>
      </c>
      <c r="R15" s="11">
        <v>272</v>
      </c>
      <c r="S15" s="11">
        <v>143</v>
      </c>
      <c r="T15" s="11">
        <v>237</v>
      </c>
      <c r="U15" s="11">
        <v>242</v>
      </c>
      <c r="V15" s="11">
        <v>214</v>
      </c>
      <c r="W15" s="11">
        <v>216</v>
      </c>
      <c r="X15" s="11">
        <v>374</v>
      </c>
      <c r="Y15" s="11">
        <v>260</v>
      </c>
      <c r="Z15" s="11">
        <v>325</v>
      </c>
      <c r="AA15" s="11">
        <v>155</v>
      </c>
      <c r="AB15" s="11"/>
      <c r="AC15" s="11"/>
      <c r="AD15" s="11"/>
      <c r="AE15" s="11"/>
      <c r="AF15" s="11"/>
      <c r="AG15" s="16"/>
      <c r="AH15" s="190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6"/>
      <c r="AT15" s="132"/>
      <c r="AU15" s="132"/>
      <c r="AV15" s="11"/>
      <c r="AW15" s="11"/>
      <c r="AX15" s="11"/>
      <c r="AY15" s="11"/>
      <c r="AZ15" s="11"/>
      <c r="BA15" s="11"/>
      <c r="BB15" s="11"/>
      <c r="BC15" s="11"/>
    </row>
    <row r="16" spans="1:55" s="111" customFormat="1" x14ac:dyDescent="0.25">
      <c r="A16" s="4"/>
      <c r="B16" s="5"/>
      <c r="C16" s="5"/>
      <c r="D16" s="5"/>
      <c r="E16" s="5"/>
      <c r="F16" s="5"/>
      <c r="G16" s="6">
        <v>3</v>
      </c>
      <c r="H16" s="110" t="s">
        <v>140</v>
      </c>
      <c r="I16" s="199" t="s">
        <v>122</v>
      </c>
      <c r="J16" s="11">
        <v>25</v>
      </c>
      <c r="K16" s="11">
        <v>25</v>
      </c>
      <c r="L16" s="11">
        <v>25</v>
      </c>
      <c r="M16" s="11">
        <v>35</v>
      </c>
      <c r="N16" s="11">
        <f>19+O16+Z16</f>
        <v>31</v>
      </c>
      <c r="O16" s="9">
        <f>+AA16</f>
        <v>8</v>
      </c>
      <c r="P16" s="11">
        <v>0</v>
      </c>
      <c r="Q16" s="11">
        <v>1</v>
      </c>
      <c r="R16" s="11">
        <v>3</v>
      </c>
      <c r="S16" s="11">
        <v>3</v>
      </c>
      <c r="T16" s="11">
        <v>3</v>
      </c>
      <c r="U16" s="11">
        <v>1</v>
      </c>
      <c r="V16" s="11">
        <v>3</v>
      </c>
      <c r="W16" s="11">
        <v>0</v>
      </c>
      <c r="X16" s="11">
        <v>3</v>
      </c>
      <c r="Y16" s="11">
        <v>2</v>
      </c>
      <c r="Z16" s="11">
        <v>4</v>
      </c>
      <c r="AA16" s="11">
        <v>8</v>
      </c>
      <c r="AB16" s="11"/>
      <c r="AC16" s="11"/>
      <c r="AD16" s="11"/>
      <c r="AE16" s="11"/>
      <c r="AF16" s="11"/>
      <c r="AG16" s="16"/>
      <c r="AH16" s="190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6"/>
      <c r="AT16" s="132"/>
      <c r="AU16" s="132"/>
      <c r="AV16" s="11"/>
      <c r="AW16" s="11"/>
      <c r="AX16" s="11"/>
      <c r="AY16" s="11"/>
      <c r="AZ16" s="11"/>
      <c r="BA16" s="11"/>
      <c r="BB16" s="11"/>
      <c r="BC16" s="11"/>
    </row>
    <row r="17" spans="1:55" s="111" customFormat="1" ht="27.75" thickBot="1" x14ac:dyDescent="0.3">
      <c r="A17" s="60"/>
      <c r="B17" s="61"/>
      <c r="C17" s="61"/>
      <c r="D17" s="61"/>
      <c r="E17" s="61"/>
      <c r="F17" s="61"/>
      <c r="G17" s="61">
        <v>6</v>
      </c>
      <c r="H17" s="62" t="s">
        <v>141</v>
      </c>
      <c r="I17" s="241" t="s">
        <v>122</v>
      </c>
      <c r="J17" s="15">
        <v>116</v>
      </c>
      <c r="K17" s="15">
        <v>116</v>
      </c>
      <c r="L17" s="15">
        <v>116</v>
      </c>
      <c r="M17" s="15">
        <v>66</v>
      </c>
      <c r="N17" s="15">
        <f>43+O17+Z17</f>
        <v>66</v>
      </c>
      <c r="O17" s="13">
        <f>+AA17</f>
        <v>8</v>
      </c>
      <c r="P17" s="15">
        <v>0</v>
      </c>
      <c r="Q17" s="15">
        <v>2</v>
      </c>
      <c r="R17" s="15">
        <v>1</v>
      </c>
      <c r="S17" s="15">
        <v>0</v>
      </c>
      <c r="T17" s="15">
        <v>1</v>
      </c>
      <c r="U17" s="15">
        <v>1</v>
      </c>
      <c r="V17" s="15">
        <v>0</v>
      </c>
      <c r="W17" s="15">
        <v>8</v>
      </c>
      <c r="X17" s="15">
        <v>15</v>
      </c>
      <c r="Y17" s="15">
        <v>15</v>
      </c>
      <c r="Z17" s="15">
        <v>15</v>
      </c>
      <c r="AA17" s="15">
        <v>8</v>
      </c>
      <c r="AB17" s="15"/>
      <c r="AC17" s="15"/>
      <c r="AD17" s="15"/>
      <c r="AE17" s="15"/>
      <c r="AF17" s="15"/>
      <c r="AG17" s="17"/>
      <c r="AH17" s="191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7"/>
      <c r="AT17" s="132"/>
      <c r="AU17" s="132"/>
      <c r="AV17" s="11"/>
      <c r="AW17" s="11"/>
      <c r="AX17" s="11"/>
      <c r="AY17" s="11"/>
      <c r="AZ17" s="11"/>
      <c r="BA17" s="11"/>
      <c r="BB17" s="11"/>
      <c r="BC17" s="11"/>
    </row>
    <row r="18" spans="1:55" s="91" customFormat="1" ht="13.5" x14ac:dyDescent="0.25"/>
    <row r="19" spans="1:55" s="91" customFormat="1" ht="13.5" x14ac:dyDescent="0.25"/>
    <row r="20" spans="1:55" s="91" customFormat="1" ht="13.5" x14ac:dyDescent="0.25"/>
    <row r="21" spans="1:55" s="91" customFormat="1" ht="13.5" x14ac:dyDescent="0.25"/>
    <row r="22" spans="1:55" s="91" customFormat="1" ht="13.5" x14ac:dyDescent="0.25">
      <c r="H22" s="91" t="s">
        <v>224</v>
      </c>
    </row>
    <row r="23" spans="1:55" s="91" customFormat="1" ht="13.5" x14ac:dyDescent="0.25">
      <c r="H23" s="91" t="s">
        <v>219</v>
      </c>
    </row>
    <row r="24" spans="1:55" s="91" customFormat="1" ht="13.5" x14ac:dyDescent="0.25"/>
    <row r="25" spans="1:55" s="91" customFormat="1" ht="13.5" x14ac:dyDescent="0.25"/>
    <row r="26" spans="1:55" s="91" customFormat="1" ht="13.5" x14ac:dyDescent="0.25"/>
    <row r="27" spans="1:55" s="91" customFormat="1" ht="13.5" x14ac:dyDescent="0.25"/>
    <row r="28" spans="1:55" s="91" customFormat="1" ht="13.5" x14ac:dyDescent="0.25"/>
    <row r="29" spans="1:55" s="91" customFormat="1" ht="13.5" x14ac:dyDescent="0.25"/>
    <row r="30" spans="1:55" s="91" customFormat="1" ht="13.5" x14ac:dyDescent="0.25"/>
    <row r="31" spans="1:55" s="91" customFormat="1" ht="13.5" x14ac:dyDescent="0.25"/>
    <row r="32" spans="1:55" s="91" customFormat="1" ht="13.5" x14ac:dyDescent="0.25"/>
    <row r="33" s="91" customFormat="1" ht="13.5" x14ac:dyDescent="0.25"/>
    <row r="34" s="91" customFormat="1" ht="13.5" x14ac:dyDescent="0.25"/>
    <row r="35" s="91" customFormat="1" ht="13.5" x14ac:dyDescent="0.25"/>
    <row r="36" s="91" customFormat="1" ht="13.5" x14ac:dyDescent="0.25"/>
    <row r="37" s="91" customFormat="1" ht="13.5" x14ac:dyDescent="0.25"/>
    <row r="38" s="91" customFormat="1" ht="13.5" x14ac:dyDescent="0.25"/>
    <row r="39" s="91" customFormat="1" ht="13.5" x14ac:dyDescent="0.25"/>
    <row r="40" s="91" customFormat="1" ht="13.5" x14ac:dyDescent="0.25"/>
    <row r="41" s="91" customFormat="1" ht="13.5" x14ac:dyDescent="0.25"/>
    <row r="42" s="91" customFormat="1" ht="13.5" x14ac:dyDescent="0.25"/>
    <row r="43" s="91" customFormat="1" ht="13.5" x14ac:dyDescent="0.25"/>
    <row r="44" s="91" customFormat="1" ht="13.5" x14ac:dyDescent="0.25"/>
    <row r="45" s="91" customFormat="1" ht="13.5" x14ac:dyDescent="0.25"/>
    <row r="46" s="91" customFormat="1" ht="13.5" x14ac:dyDescent="0.25"/>
    <row r="47" s="91" customFormat="1" ht="13.5" x14ac:dyDescent="0.25"/>
    <row r="48" s="91" customFormat="1" ht="13.5" x14ac:dyDescent="0.25"/>
    <row r="49" s="91" customFormat="1" ht="13.5" x14ac:dyDescent="0.25"/>
    <row r="50" s="91" customFormat="1" ht="13.5" x14ac:dyDescent="0.25"/>
    <row r="51" s="91" customFormat="1" ht="13.5" x14ac:dyDescent="0.25"/>
    <row r="52" s="91" customFormat="1" ht="13.5" x14ac:dyDescent="0.25"/>
    <row r="53" s="91" customFormat="1" ht="13.5" x14ac:dyDescent="0.25"/>
    <row r="54" s="91" customFormat="1" ht="13.5" x14ac:dyDescent="0.25"/>
    <row r="55" s="91" customFormat="1" ht="13.5" x14ac:dyDescent="0.25"/>
    <row r="56" s="91" customFormat="1" ht="13.5" x14ac:dyDescent="0.25"/>
  </sheetData>
  <mergeCells count="7">
    <mergeCell ref="AX5:AY5"/>
    <mergeCell ref="AZ5:BA5"/>
    <mergeCell ref="BB5:BC5"/>
    <mergeCell ref="A5:I5"/>
    <mergeCell ref="J5:O5"/>
    <mergeCell ref="AB5:AG5"/>
    <mergeCell ref="AV5:A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Hoja2</vt:lpstr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DGCT</vt:lpstr>
      <vt:lpstr>211. SIT</vt:lpstr>
      <vt:lpstr>212. FONDETEL</vt:lpstr>
      <vt:lpstr>214. UDEVIPO</vt:lpstr>
      <vt:lpstr>216. PROVIAL</vt:lpstr>
      <vt:lpstr>217. FSS</vt:lpstr>
      <vt:lpstr>218. FOPAVI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Jonnathan Pernillo</cp:lastModifiedBy>
  <cp:lastPrinted>2022-08-03T22:20:11Z</cp:lastPrinted>
  <dcterms:created xsi:type="dcterms:W3CDTF">2022-01-14T22:34:20Z</dcterms:created>
  <dcterms:modified xsi:type="dcterms:W3CDTF">2023-01-11T17:19:45Z</dcterms:modified>
</cp:coreProperties>
</file>