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.pernillo\Desktop\CIV\DIPLAN\Controles\Ejecucion Fisica y Financiera\2022\"/>
    </mc:Choice>
  </mc:AlternateContent>
  <xr:revisionPtr revIDLastSave="0" documentId="13_ncr:1_{90EB0CAF-7AE8-487B-9B4D-DD17C68D08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1. DS" sheetId="17" r:id="rId1"/>
    <sheet name="202. DGC" sheetId="2" r:id="rId2"/>
    <sheet name="203. COVIAL" sheetId="3" r:id="rId3"/>
    <sheet name="Hoja2" sheetId="18" r:id="rId4"/>
    <sheet name="204. DGT" sheetId="4" r:id="rId5"/>
    <sheet name="205. DGAC" sheetId="5" r:id="rId6"/>
    <sheet name="206. UCEE" sheetId="6" r:id="rId7"/>
    <sheet name="207. DGRTN" sheetId="7" r:id="rId8"/>
    <sheet name="208. UNCOSU" sheetId="8" r:id="rId9"/>
    <sheet name="209. INSIVUMEH" sheetId="9" r:id="rId10"/>
    <sheet name="210. DGCT" sheetId="10" r:id="rId11"/>
    <sheet name="211. SIT" sheetId="11" r:id="rId12"/>
    <sheet name="212. FONDETEL" sheetId="12" r:id="rId13"/>
    <sheet name="214. UDEVIPO" sheetId="13" r:id="rId14"/>
    <sheet name="216. PROVIAL" sheetId="14" r:id="rId15"/>
    <sheet name="217. FSS" sheetId="15" r:id="rId16"/>
    <sheet name="218. FOPAVI" sheetId="16" r:id="rId1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1" i="16" l="1"/>
  <c r="AG21" i="16"/>
  <c r="N21" i="16"/>
  <c r="N19" i="16"/>
  <c r="O22" i="16"/>
  <c r="O21" i="16"/>
  <c r="O19" i="16"/>
  <c r="O18" i="16"/>
  <c r="O17" i="16"/>
  <c r="O16" i="16"/>
  <c r="O15" i="16"/>
  <c r="O14" i="16"/>
  <c r="O12" i="16"/>
  <c r="O11" i="16"/>
  <c r="A3" i="16"/>
  <c r="AF21" i="6"/>
  <c r="AF10" i="6"/>
  <c r="AG25" i="6"/>
  <c r="AG21" i="6"/>
  <c r="AG17" i="6"/>
  <c r="AG10" i="6"/>
  <c r="A3" i="6"/>
  <c r="N23" i="6"/>
  <c r="N21" i="6"/>
  <c r="N13" i="6"/>
  <c r="N12" i="6"/>
  <c r="N11" i="6"/>
  <c r="O25" i="6"/>
  <c r="O24" i="6"/>
  <c r="O23" i="6"/>
  <c r="O21" i="6"/>
  <c r="O20" i="6"/>
  <c r="O17" i="6"/>
  <c r="O15" i="6"/>
  <c r="O14" i="6"/>
  <c r="O13" i="6"/>
  <c r="O12" i="6"/>
  <c r="O11" i="6"/>
  <c r="A3" i="15"/>
  <c r="AF17" i="15"/>
  <c r="AF10" i="15"/>
  <c r="N25" i="15"/>
  <c r="N24" i="15"/>
  <c r="N19" i="15"/>
  <c r="N18" i="15"/>
  <c r="N13" i="15"/>
  <c r="AG17" i="15"/>
  <c r="AG10" i="15"/>
  <c r="O27" i="15"/>
  <c r="O26" i="15"/>
  <c r="O25" i="15"/>
  <c r="O24" i="15"/>
  <c r="O22" i="15"/>
  <c r="O21" i="15"/>
  <c r="O19" i="15"/>
  <c r="O18" i="15"/>
  <c r="O13" i="15"/>
  <c r="O12" i="15"/>
  <c r="O11" i="15"/>
  <c r="AF19" i="11"/>
  <c r="AF13" i="11"/>
  <c r="AG28" i="11"/>
  <c r="AG19" i="11"/>
  <c r="AG13" i="11"/>
  <c r="AG10" i="11"/>
  <c r="AF10" i="11" s="1"/>
  <c r="O24" i="11"/>
  <c r="O23" i="11"/>
  <c r="O22" i="11"/>
  <c r="O21" i="11"/>
  <c r="O20" i="11"/>
  <c r="O18" i="11"/>
  <c r="O17" i="11"/>
  <c r="O16" i="11"/>
  <c r="O15" i="11"/>
  <c r="O14" i="11"/>
  <c r="O12" i="11"/>
  <c r="O11" i="11"/>
  <c r="A3" i="9"/>
  <c r="N14" i="9"/>
  <c r="AF31" i="5"/>
  <c r="AF25" i="5"/>
  <c r="AF22" i="5"/>
  <c r="AF13" i="5"/>
  <c r="AF10" i="5"/>
  <c r="N27" i="5"/>
  <c r="N24" i="5"/>
  <c r="N16" i="5"/>
  <c r="N15" i="5"/>
  <c r="N14" i="5"/>
  <c r="O34" i="9" l="1"/>
  <c r="O33" i="9"/>
  <c r="O31" i="9"/>
  <c r="O30" i="9"/>
  <c r="O25" i="9"/>
  <c r="O24" i="9"/>
  <c r="O23" i="9"/>
  <c r="O22" i="9"/>
  <c r="O20" i="9"/>
  <c r="O19" i="9"/>
  <c r="O18" i="9"/>
  <c r="O16" i="9"/>
  <c r="O15" i="9"/>
  <c r="O14" i="9"/>
  <c r="O12" i="9"/>
  <c r="O11" i="9"/>
  <c r="AG31" i="5"/>
  <c r="AG25" i="5"/>
  <c r="AG22" i="5"/>
  <c r="AG13" i="5"/>
  <c r="AG10" i="5"/>
  <c r="O33" i="5"/>
  <c r="O32" i="5"/>
  <c r="O27" i="5"/>
  <c r="O26" i="5"/>
  <c r="O24" i="5"/>
  <c r="O23" i="5"/>
  <c r="O21" i="5"/>
  <c r="O20" i="5"/>
  <c r="O19" i="5"/>
  <c r="O18" i="5"/>
  <c r="O17" i="5"/>
  <c r="O16" i="5"/>
  <c r="O15" i="5"/>
  <c r="O14" i="5"/>
  <c r="O12" i="5"/>
  <c r="O11" i="5"/>
  <c r="A3" i="14"/>
  <c r="AG13" i="14"/>
  <c r="AF13" i="14" s="1"/>
  <c r="AG10" i="14"/>
  <c r="AF10" i="14" s="1"/>
  <c r="N15" i="14"/>
  <c r="O21" i="14"/>
  <c r="O20" i="14"/>
  <c r="O19" i="14"/>
  <c r="O18" i="14"/>
  <c r="O17" i="14"/>
  <c r="O16" i="14"/>
  <c r="O15" i="14"/>
  <c r="O14" i="14"/>
  <c r="O12" i="14"/>
  <c r="O11" i="14"/>
  <c r="N16" i="13"/>
  <c r="N12" i="13"/>
  <c r="N11" i="13"/>
  <c r="O16" i="13"/>
  <c r="O15" i="13"/>
  <c r="O14" i="13"/>
  <c r="O12" i="13"/>
  <c r="O11" i="13"/>
  <c r="AF13" i="13"/>
  <c r="AF10" i="13"/>
  <c r="AG13" i="13"/>
  <c r="AG10" i="13"/>
  <c r="A3" i="13"/>
  <c r="A3" i="10"/>
  <c r="AF19" i="10"/>
  <c r="AF13" i="10"/>
  <c r="AF10" i="10"/>
  <c r="AG19" i="10"/>
  <c r="AG13" i="10"/>
  <c r="AG10" i="10"/>
  <c r="N15" i="10"/>
  <c r="N14" i="10"/>
  <c r="N12" i="10"/>
  <c r="N11" i="10"/>
  <c r="O20" i="10"/>
  <c r="O15" i="10"/>
  <c r="O14" i="10"/>
  <c r="O12" i="10"/>
  <c r="O11" i="10"/>
  <c r="AF13" i="8"/>
  <c r="AF10" i="8"/>
  <c r="A3" i="8"/>
  <c r="O17" i="8"/>
  <c r="N17" i="8" s="1"/>
  <c r="O16" i="8"/>
  <c r="N16" i="8" s="1"/>
  <c r="O15" i="8"/>
  <c r="N15" i="8" s="1"/>
  <c r="O14" i="8"/>
  <c r="N14" i="8" s="1"/>
  <c r="O12" i="8"/>
  <c r="N12" i="8" s="1"/>
  <c r="O11" i="8"/>
  <c r="O56" i="3"/>
  <c r="O55" i="3"/>
  <c r="O54" i="3"/>
  <c r="O53" i="3"/>
  <c r="O51" i="3"/>
  <c r="O50" i="3"/>
  <c r="O46" i="3"/>
  <c r="O45" i="3"/>
  <c r="O43" i="3"/>
  <c r="O42" i="3"/>
  <c r="O41" i="3"/>
  <c r="O39" i="3"/>
  <c r="O38" i="3"/>
  <c r="O37" i="3"/>
  <c r="O35" i="3"/>
  <c r="O34" i="3"/>
  <c r="O33" i="3"/>
  <c r="O32" i="3"/>
  <c r="O28" i="3"/>
  <c r="O27" i="3"/>
  <c r="O20" i="3"/>
  <c r="O19" i="3"/>
  <c r="O12" i="3"/>
  <c r="O11" i="3"/>
  <c r="AF53" i="3"/>
  <c r="AF50" i="3"/>
  <c r="AF40" i="3"/>
  <c r="AF36" i="3"/>
  <c r="AF31" i="3"/>
  <c r="AF26" i="3"/>
  <c r="AF18" i="3"/>
  <c r="AF10" i="3"/>
  <c r="AG56" i="3"/>
  <c r="AG53" i="3"/>
  <c r="AG50" i="3"/>
  <c r="AG44" i="3"/>
  <c r="AG40" i="3"/>
  <c r="AG36" i="3"/>
  <c r="AG31" i="3"/>
  <c r="AG26" i="3"/>
  <c r="AG23" i="3"/>
  <c r="AG18" i="3"/>
  <c r="AG15" i="3"/>
  <c r="AG10" i="3"/>
  <c r="N41" i="3"/>
  <c r="N37" i="3"/>
  <c r="N32" i="3"/>
  <c r="N20" i="3"/>
  <c r="N12" i="3"/>
  <c r="N11" i="3"/>
  <c r="AG18" i="7"/>
  <c r="AG13" i="7"/>
  <c r="AG10" i="7"/>
  <c r="O22" i="7"/>
  <c r="O21" i="7"/>
  <c r="O20" i="7"/>
  <c r="O19" i="7"/>
  <c r="O17" i="7"/>
  <c r="O16" i="7"/>
  <c r="O15" i="7"/>
  <c r="O14" i="7"/>
  <c r="O12" i="7"/>
  <c r="AF18" i="7"/>
  <c r="AF13" i="7"/>
  <c r="AF10" i="7"/>
  <c r="N21" i="7"/>
  <c r="N19" i="7"/>
  <c r="AG13" i="4"/>
  <c r="AG10" i="4"/>
  <c r="AF13" i="4"/>
  <c r="AF10" i="4"/>
  <c r="O20" i="4"/>
  <c r="O19" i="4"/>
  <c r="O18" i="4"/>
  <c r="O17" i="4"/>
  <c r="O16" i="4"/>
  <c r="O15" i="4"/>
  <c r="O14" i="4"/>
  <c r="O12" i="4"/>
  <c r="O11" i="4"/>
  <c r="N20" i="4"/>
  <c r="N19" i="4"/>
  <c r="N17" i="4"/>
  <c r="N15" i="4"/>
  <c r="N12" i="4"/>
  <c r="N11" i="4" s="1"/>
  <c r="N18" i="4"/>
  <c r="A3" i="12"/>
  <c r="AG14" i="12"/>
  <c r="AG11" i="12"/>
  <c r="O15" i="12"/>
  <c r="O14" i="12"/>
  <c r="O12" i="12"/>
  <c r="O11" i="12"/>
  <c r="AF14" i="12"/>
  <c r="AF11" i="12"/>
  <c r="A3" i="7"/>
  <c r="A3" i="5"/>
  <c r="A3" i="4"/>
  <c r="A3" i="3"/>
  <c r="AG34" i="2"/>
  <c r="AG31" i="2"/>
  <c r="AF31" i="2" s="1"/>
  <c r="AG27" i="2"/>
  <c r="AG19" i="2"/>
  <c r="AG14" i="2"/>
  <c r="AG11" i="2"/>
  <c r="O34" i="2"/>
  <c r="O33" i="2"/>
  <c r="O32" i="2"/>
  <c r="O31" i="2"/>
  <c r="O28" i="2"/>
  <c r="O27" i="2"/>
  <c r="O23" i="2"/>
  <c r="O22" i="2"/>
  <c r="O20" i="2"/>
  <c r="O19" i="2"/>
  <c r="O15" i="2"/>
  <c r="O14" i="2"/>
  <c r="O12" i="2"/>
  <c r="O11" i="2"/>
  <c r="O30" i="17"/>
  <c r="O29" i="17"/>
  <c r="O27" i="17"/>
  <c r="O26" i="17"/>
  <c r="O24" i="17"/>
  <c r="O23" i="17"/>
  <c r="O18" i="17"/>
  <c r="O17" i="17"/>
  <c r="O15" i="17"/>
  <c r="O14" i="17"/>
  <c r="O12" i="17"/>
  <c r="O11" i="17"/>
  <c r="AG28" i="17"/>
  <c r="AG25" i="17"/>
  <c r="AG22" i="17"/>
  <c r="AG16" i="17"/>
  <c r="AG13" i="17"/>
  <c r="AG10" i="17"/>
  <c r="N31" i="2"/>
  <c r="N32" i="2"/>
  <c r="N28" i="2"/>
  <c r="N20" i="2"/>
  <c r="N15" i="2"/>
  <c r="N12" i="2"/>
  <c r="AF14" i="2"/>
  <c r="AF11" i="2"/>
  <c r="N30" i="17" l="1"/>
  <c r="N29" i="17" s="1"/>
  <c r="BB29" i="17"/>
  <c r="BA29" i="17"/>
  <c r="AZ29" i="17"/>
  <c r="AY29" i="17"/>
  <c r="AX29" i="17"/>
  <c r="AW29" i="17"/>
  <c r="AV29" i="17"/>
  <c r="AU29" i="17"/>
  <c r="AA29" i="17"/>
  <c r="Z29" i="17"/>
  <c r="Y29" i="17"/>
  <c r="X29" i="17"/>
  <c r="W29" i="17"/>
  <c r="V29" i="17"/>
  <c r="U29" i="17"/>
  <c r="T29" i="17"/>
  <c r="S29" i="17"/>
  <c r="R29" i="17"/>
  <c r="Q29" i="17"/>
  <c r="P29" i="17"/>
  <c r="M29" i="17"/>
  <c r="L29" i="17"/>
  <c r="K29" i="17"/>
  <c r="J29" i="17"/>
  <c r="AF28" i="17"/>
  <c r="N27" i="17"/>
  <c r="BB26" i="17"/>
  <c r="BA26" i="17"/>
  <c r="AZ26" i="17"/>
  <c r="AY26" i="17"/>
  <c r="AX26" i="17"/>
  <c r="AW26" i="17"/>
  <c r="AV26" i="17"/>
  <c r="AU26" i="17"/>
  <c r="Z26" i="17"/>
  <c r="Y26" i="17"/>
  <c r="X26" i="17"/>
  <c r="W26" i="17"/>
  <c r="V26" i="17"/>
  <c r="U26" i="17"/>
  <c r="T26" i="17"/>
  <c r="S26" i="17"/>
  <c r="R26" i="17"/>
  <c r="Q26" i="17"/>
  <c r="P26" i="17"/>
  <c r="N26" i="17"/>
  <c r="M26" i="17"/>
  <c r="L26" i="17"/>
  <c r="K26" i="17"/>
  <c r="J26" i="17"/>
  <c r="AF25" i="17"/>
  <c r="N24" i="17"/>
  <c r="BB23" i="17"/>
  <c r="BA23" i="17"/>
  <c r="AZ23" i="17"/>
  <c r="AY23" i="17"/>
  <c r="AX23" i="17"/>
  <c r="AW23" i="17"/>
  <c r="AV23" i="17"/>
  <c r="AU23" i="17"/>
  <c r="AA23" i="17"/>
  <c r="Z23" i="17"/>
  <c r="X23" i="17"/>
  <c r="W23" i="17"/>
  <c r="U23" i="17"/>
  <c r="T23" i="17"/>
  <c r="S23" i="17"/>
  <c r="R23" i="17"/>
  <c r="Q23" i="17"/>
  <c r="P23" i="17"/>
  <c r="N23" i="17"/>
  <c r="M23" i="17"/>
  <c r="L23" i="17"/>
  <c r="K23" i="17"/>
  <c r="J23" i="17"/>
  <c r="AF22" i="17"/>
  <c r="N18" i="17"/>
  <c r="BB17" i="17"/>
  <c r="BA17" i="17"/>
  <c r="AZ17" i="17"/>
  <c r="AY17" i="17"/>
  <c r="AX17" i="17"/>
  <c r="AW17" i="17"/>
  <c r="AV17" i="17"/>
  <c r="AU17" i="17"/>
  <c r="AA17" i="17"/>
  <c r="Z17" i="17"/>
  <c r="Y17" i="17"/>
  <c r="W17" i="17"/>
  <c r="V17" i="17"/>
  <c r="U17" i="17"/>
  <c r="T17" i="17"/>
  <c r="S17" i="17"/>
  <c r="R17" i="17"/>
  <c r="Q17" i="17"/>
  <c r="P17" i="17"/>
  <c r="N17" i="17"/>
  <c r="M17" i="17"/>
  <c r="L17" i="17"/>
  <c r="K17" i="17"/>
  <c r="J17" i="17"/>
  <c r="N15" i="17"/>
  <c r="N14" i="17" s="1"/>
  <c r="BB14" i="17"/>
  <c r="BA14" i="17"/>
  <c r="AZ14" i="17"/>
  <c r="AY14" i="17"/>
  <c r="AX14" i="17"/>
  <c r="AW14" i="17"/>
  <c r="AV14" i="17"/>
  <c r="AU14" i="17"/>
  <c r="AA14" i="17"/>
  <c r="Y14" i="17"/>
  <c r="X14" i="17"/>
  <c r="W14" i="17"/>
  <c r="V14" i="17"/>
  <c r="U14" i="17"/>
  <c r="T14" i="17"/>
  <c r="S14" i="17"/>
  <c r="R14" i="17"/>
  <c r="Q14" i="17"/>
  <c r="P14" i="17"/>
  <c r="M14" i="17"/>
  <c r="L14" i="17"/>
  <c r="K14" i="17"/>
  <c r="J14" i="17"/>
  <c r="N12" i="17"/>
  <c r="N11" i="17" s="1"/>
  <c r="BB11" i="17"/>
  <c r="BA11" i="17"/>
  <c r="AZ11" i="17"/>
  <c r="AY11" i="17"/>
  <c r="AX11" i="17"/>
  <c r="AW11" i="17"/>
  <c r="AV11" i="17"/>
  <c r="AU11" i="17"/>
  <c r="AA11" i="17"/>
  <c r="Z11" i="17"/>
  <c r="X11" i="17"/>
  <c r="W11" i="17"/>
  <c r="V11" i="17"/>
  <c r="U11" i="17"/>
  <c r="T11" i="17"/>
  <c r="S11" i="17"/>
  <c r="R11" i="17"/>
  <c r="Q11" i="17"/>
  <c r="P11" i="17"/>
  <c r="M11" i="17"/>
  <c r="L11" i="17"/>
  <c r="K11" i="17"/>
  <c r="J11" i="17"/>
  <c r="Y21" i="16"/>
  <c r="AG13" i="16"/>
  <c r="AG10" i="16"/>
  <c r="L21" i="16"/>
  <c r="N22" i="16"/>
  <c r="AG24" i="15"/>
  <c r="AG27" i="15"/>
  <c r="O30" i="11"/>
  <c r="O29" i="11"/>
  <c r="AG32" i="9"/>
  <c r="AG29" i="9"/>
  <c r="AG21" i="9"/>
  <c r="AG17" i="9"/>
  <c r="AG13" i="9"/>
  <c r="AG10" i="9"/>
  <c r="AG13" i="8"/>
  <c r="AG10" i="8"/>
  <c r="AQ61" i="3"/>
  <c r="AH61" i="3"/>
  <c r="AI61" i="3"/>
  <c r="AJ61" i="3"/>
  <c r="AK61" i="3"/>
  <c r="AL61" i="3"/>
  <c r="AM61" i="3"/>
  <c r="AN61" i="3"/>
  <c r="AO61" i="3"/>
  <c r="AP61" i="3"/>
  <c r="N38" i="3"/>
  <c r="O17" i="3"/>
  <c r="O25" i="3"/>
  <c r="AG22" i="2"/>
  <c r="AQ35" i="2"/>
  <c r="M11" i="9" l="1"/>
  <c r="N20" i="7" l="1"/>
  <c r="N22" i="7"/>
  <c r="O11" i="7"/>
  <c r="N26" i="5"/>
  <c r="X23" i="5"/>
  <c r="AF17" i="6" l="1"/>
  <c r="W11" i="14"/>
  <c r="W32" i="3" l="1"/>
  <c r="M14" i="2"/>
  <c r="V14" i="14"/>
  <c r="AF28" i="11"/>
  <c r="V14" i="5" l="1"/>
  <c r="V19" i="3"/>
  <c r="V14" i="2"/>
  <c r="N15" i="7"/>
  <c r="N12" i="7"/>
  <c r="K14" i="5"/>
  <c r="L14" i="5"/>
  <c r="M11" i="4"/>
  <c r="V19" i="2"/>
  <c r="N19" i="2"/>
  <c r="N14" i="2"/>
  <c r="V27" i="2"/>
  <c r="V22" i="2"/>
  <c r="M19" i="2"/>
  <c r="M11" i="2"/>
  <c r="N11" i="2"/>
  <c r="N12" i="5"/>
  <c r="N11" i="5" s="1"/>
  <c r="N18" i="16"/>
  <c r="N17" i="16"/>
  <c r="N16" i="16"/>
  <c r="N15" i="16"/>
  <c r="N12" i="16"/>
  <c r="N12" i="15"/>
  <c r="U11" i="14"/>
  <c r="N21" i="14"/>
  <c r="N20" i="14"/>
  <c r="N19" i="14"/>
  <c r="N18" i="14"/>
  <c r="N16" i="14"/>
  <c r="N12" i="14"/>
  <c r="N15" i="13"/>
  <c r="N15" i="12"/>
  <c r="N12" i="12"/>
  <c r="N30" i="11"/>
  <c r="N24" i="11"/>
  <c r="N23" i="11"/>
  <c r="N22" i="11"/>
  <c r="N21" i="11"/>
  <c r="N18" i="11"/>
  <c r="N17" i="11"/>
  <c r="N16" i="11"/>
  <c r="N15" i="11"/>
  <c r="N12" i="11"/>
  <c r="U11" i="10"/>
  <c r="N21" i="10"/>
  <c r="N34" i="9"/>
  <c r="N31" i="9"/>
  <c r="N25" i="9"/>
  <c r="U11" i="9"/>
  <c r="U11" i="8"/>
  <c r="AM13" i="7"/>
  <c r="N16" i="7"/>
  <c r="N17" i="7"/>
  <c r="AM10" i="6"/>
  <c r="U11" i="6"/>
  <c r="U11" i="5"/>
  <c r="V14" i="9" l="1"/>
  <c r="N15" i="9"/>
  <c r="N16" i="9"/>
  <c r="AM13" i="4"/>
  <c r="U11" i="3"/>
  <c r="N46" i="3"/>
  <c r="N45" i="3"/>
  <c r="M41" i="3"/>
  <c r="N35" i="3"/>
  <c r="N34" i="3"/>
  <c r="N33" i="3"/>
  <c r="N28" i="3"/>
  <c r="N25" i="3"/>
  <c r="N17" i="3"/>
  <c r="N16" i="3" s="1"/>
  <c r="U11" i="2"/>
  <c r="U11" i="16"/>
  <c r="U18" i="15"/>
  <c r="U14" i="10" l="1"/>
  <c r="AT26" i="3" l="1"/>
  <c r="AT18" i="3"/>
  <c r="AA11" i="15" l="1"/>
  <c r="Z11" i="15"/>
  <c r="Y11" i="15"/>
  <c r="V11" i="15"/>
  <c r="U11" i="15"/>
  <c r="T11" i="15"/>
  <c r="R29" i="11"/>
  <c r="N20" i="6"/>
  <c r="T14" i="4"/>
  <c r="A3" i="11"/>
  <c r="N33" i="5"/>
  <c r="S11" i="15" l="1"/>
  <c r="R11" i="15"/>
  <c r="Q11" i="15"/>
  <c r="N11" i="8"/>
  <c r="AF44" i="3"/>
  <c r="M45" i="3"/>
  <c r="M37" i="3"/>
  <c r="M32" i="3"/>
  <c r="AF22" i="2"/>
  <c r="AF19" i="2"/>
  <c r="AA22" i="2"/>
  <c r="Z22" i="2"/>
  <c r="Y22" i="2"/>
  <c r="X22" i="2"/>
  <c r="W22" i="2"/>
  <c r="U22" i="2"/>
  <c r="T22" i="2"/>
  <c r="S22" i="2"/>
  <c r="R22" i="2"/>
  <c r="Q22" i="2"/>
  <c r="P22" i="2"/>
  <c r="AA19" i="2"/>
  <c r="Z19" i="2"/>
  <c r="Y19" i="2"/>
  <c r="X19" i="2"/>
  <c r="W19" i="2"/>
  <c r="U19" i="2"/>
  <c r="T19" i="2"/>
  <c r="S19" i="2"/>
  <c r="R19" i="2"/>
  <c r="Q19" i="2"/>
  <c r="P19" i="2"/>
  <c r="N23" i="2"/>
  <c r="N22" i="2" s="1"/>
  <c r="R22" i="9"/>
  <c r="R18" i="9"/>
  <c r="R14" i="9"/>
  <c r="R11" i="9"/>
  <c r="N27" i="2"/>
  <c r="AF27" i="2"/>
  <c r="AA27" i="2"/>
  <c r="Y27" i="2"/>
  <c r="X27" i="2"/>
  <c r="W27" i="2"/>
  <c r="U27" i="2"/>
  <c r="T27" i="2"/>
  <c r="S27" i="2"/>
  <c r="R27" i="2"/>
  <c r="Q27" i="2"/>
  <c r="P27" i="2"/>
  <c r="L27" i="2"/>
  <c r="K27" i="2"/>
  <c r="J27" i="2"/>
  <c r="AA14" i="2"/>
  <c r="Z14" i="2"/>
  <c r="X14" i="2"/>
  <c r="W14" i="2"/>
  <c r="U14" i="2"/>
  <c r="T14" i="2"/>
  <c r="S14" i="2"/>
  <c r="R14" i="2"/>
  <c r="Q14" i="2"/>
  <c r="P14" i="2"/>
  <c r="L14" i="2"/>
  <c r="K14" i="2"/>
  <c r="J14" i="2"/>
  <c r="AA11" i="2"/>
  <c r="Z11" i="2"/>
  <c r="X11" i="2"/>
  <c r="W11" i="2"/>
  <c r="V11" i="2"/>
  <c r="T11" i="2"/>
  <c r="S11" i="2"/>
  <c r="R11" i="2"/>
  <c r="Q11" i="2"/>
  <c r="P11" i="2"/>
  <c r="L11" i="2"/>
  <c r="K11" i="2"/>
  <c r="J11" i="2"/>
  <c r="AA50" i="3"/>
  <c r="Z50" i="3"/>
  <c r="X50" i="3"/>
  <c r="W50" i="3"/>
  <c r="V50" i="3"/>
  <c r="U50" i="3"/>
  <c r="T50" i="3"/>
  <c r="S50" i="3"/>
  <c r="R50" i="3"/>
  <c r="Q50" i="3"/>
  <c r="P50" i="3"/>
  <c r="M50" i="3"/>
  <c r="L50" i="3"/>
  <c r="K50" i="3"/>
  <c r="J50" i="3"/>
  <c r="J25" i="16" l="1"/>
  <c r="M11" i="16"/>
  <c r="L14" i="16"/>
  <c r="K14" i="16"/>
  <c r="J14" i="16"/>
  <c r="AA11" i="16"/>
  <c r="Y11" i="16"/>
  <c r="X11" i="16"/>
  <c r="W11" i="16"/>
  <c r="V11" i="16"/>
  <c r="T11" i="16"/>
  <c r="S11" i="16"/>
  <c r="R11" i="16"/>
  <c r="Q11" i="16"/>
  <c r="P11" i="16"/>
  <c r="L11" i="16"/>
  <c r="K11" i="16"/>
  <c r="J11" i="16"/>
  <c r="AA14" i="16"/>
  <c r="W14" i="16"/>
  <c r="U14" i="16"/>
  <c r="T14" i="16"/>
  <c r="S14" i="16"/>
  <c r="R14" i="16"/>
  <c r="Q14" i="16"/>
  <c r="P14" i="16"/>
  <c r="K11" i="15"/>
  <c r="J11" i="15"/>
  <c r="L18" i="15"/>
  <c r="K18" i="15"/>
  <c r="J18" i="15"/>
  <c r="AA18" i="15"/>
  <c r="X18" i="15"/>
  <c r="W18" i="15"/>
  <c r="V18" i="15"/>
  <c r="T18" i="15"/>
  <c r="S18" i="15"/>
  <c r="R18" i="15"/>
  <c r="Q18" i="15"/>
  <c r="P18" i="15"/>
  <c r="P11" i="15"/>
  <c r="N11" i="15" s="1"/>
  <c r="M11" i="14"/>
  <c r="M14" i="14"/>
  <c r="AA14" i="14"/>
  <c r="W14" i="14"/>
  <c r="T14" i="14"/>
  <c r="S14" i="14"/>
  <c r="R14" i="14"/>
  <c r="Q14" i="14"/>
  <c r="P14" i="14"/>
  <c r="L14" i="14"/>
  <c r="K14" i="14"/>
  <c r="J14" i="14"/>
  <c r="L11" i="14"/>
  <c r="K11" i="14"/>
  <c r="J11" i="14"/>
  <c r="AA11" i="14"/>
  <c r="X11" i="14"/>
  <c r="V11" i="14"/>
  <c r="T11" i="14"/>
  <c r="S11" i="14"/>
  <c r="R11" i="14"/>
  <c r="Q11" i="14"/>
  <c r="P11" i="14"/>
  <c r="M11" i="13"/>
  <c r="L14" i="13"/>
  <c r="K14" i="13"/>
  <c r="J14" i="13"/>
  <c r="L11" i="13"/>
  <c r="K11" i="13"/>
  <c r="J11" i="13"/>
  <c r="AA14" i="13"/>
  <c r="W14" i="13"/>
  <c r="V14" i="13"/>
  <c r="U14" i="13"/>
  <c r="T14" i="13"/>
  <c r="S14" i="13"/>
  <c r="R14" i="13"/>
  <c r="Q14" i="13"/>
  <c r="P14" i="13"/>
  <c r="AA11" i="13"/>
  <c r="X11" i="13"/>
  <c r="W11" i="13"/>
  <c r="V11" i="13"/>
  <c r="U11" i="13"/>
  <c r="T11" i="13"/>
  <c r="S11" i="13"/>
  <c r="R11" i="13"/>
  <c r="Q11" i="13"/>
  <c r="P11" i="13"/>
  <c r="M14" i="12"/>
  <c r="M11" i="12"/>
  <c r="L14" i="12"/>
  <c r="K14" i="12"/>
  <c r="J14" i="12"/>
  <c r="L11" i="12"/>
  <c r="K11" i="12"/>
  <c r="J11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M29" i="11"/>
  <c r="M20" i="11"/>
  <c r="L29" i="11"/>
  <c r="K29" i="11"/>
  <c r="J29" i="11"/>
  <c r="L20" i="11"/>
  <c r="K20" i="11"/>
  <c r="L14" i="11"/>
  <c r="K14" i="11"/>
  <c r="L11" i="11"/>
  <c r="K11" i="11"/>
  <c r="J11" i="11"/>
  <c r="AA29" i="11"/>
  <c r="Z29" i="11"/>
  <c r="Y29" i="11"/>
  <c r="X29" i="11"/>
  <c r="W29" i="11"/>
  <c r="V29" i="11"/>
  <c r="U29" i="11"/>
  <c r="T29" i="11"/>
  <c r="S29" i="11"/>
  <c r="Q29" i="11"/>
  <c r="P29" i="11"/>
  <c r="AA20" i="11"/>
  <c r="W20" i="11"/>
  <c r="T20" i="11"/>
  <c r="S20" i="11"/>
  <c r="R20" i="11"/>
  <c r="Q20" i="11"/>
  <c r="P20" i="11"/>
  <c r="J20" i="11"/>
  <c r="AA14" i="11"/>
  <c r="Z14" i="11"/>
  <c r="W14" i="11"/>
  <c r="V14" i="11"/>
  <c r="U14" i="11"/>
  <c r="T14" i="11"/>
  <c r="S14" i="11"/>
  <c r="R14" i="11"/>
  <c r="Q14" i="11"/>
  <c r="P14" i="11"/>
  <c r="J14" i="11"/>
  <c r="AA11" i="11"/>
  <c r="Z11" i="11"/>
  <c r="Y11" i="11"/>
  <c r="X11" i="11"/>
  <c r="W11" i="11"/>
  <c r="V11" i="11"/>
  <c r="U11" i="11"/>
  <c r="T11" i="11"/>
  <c r="S11" i="11"/>
  <c r="R11" i="11"/>
  <c r="Q11" i="11"/>
  <c r="P11" i="11"/>
  <c r="N14" i="12" l="1"/>
  <c r="N11" i="12"/>
  <c r="N20" i="11"/>
  <c r="N14" i="11"/>
  <c r="N11" i="11"/>
  <c r="N14" i="16"/>
  <c r="N11" i="16"/>
  <c r="N14" i="13"/>
  <c r="N11" i="14"/>
  <c r="N14" i="14"/>
  <c r="N29" i="11"/>
  <c r="AX14" i="10"/>
  <c r="AV14" i="10"/>
  <c r="BB11" i="10"/>
  <c r="M20" i="10"/>
  <c r="L20" i="10"/>
  <c r="K20" i="10"/>
  <c r="J20" i="10"/>
  <c r="L14" i="10"/>
  <c r="K14" i="10"/>
  <c r="J14" i="10"/>
  <c r="L11" i="10"/>
  <c r="K11" i="10"/>
  <c r="J11" i="10"/>
  <c r="BC20" i="10"/>
  <c r="BB20" i="10"/>
  <c r="BA20" i="10"/>
  <c r="AZ20" i="10"/>
  <c r="AX20" i="10"/>
  <c r="AW20" i="10"/>
  <c r="AV20" i="10"/>
  <c r="AA20" i="10"/>
  <c r="Z20" i="10"/>
  <c r="X20" i="10"/>
  <c r="W20" i="10"/>
  <c r="V20" i="10"/>
  <c r="U20" i="10"/>
  <c r="T20" i="10"/>
  <c r="S20" i="10"/>
  <c r="R20" i="10"/>
  <c r="Q20" i="10"/>
  <c r="P20" i="10"/>
  <c r="BC14" i="10"/>
  <c r="BB14" i="10"/>
  <c r="BA14" i="10"/>
  <c r="AZ14" i="10"/>
  <c r="AW14" i="10"/>
  <c r="AA14" i="10"/>
  <c r="X14" i="10"/>
  <c r="W14" i="10"/>
  <c r="V14" i="10"/>
  <c r="T14" i="10"/>
  <c r="S14" i="10"/>
  <c r="R14" i="10"/>
  <c r="Q14" i="10"/>
  <c r="P14" i="10"/>
  <c r="BC11" i="10"/>
  <c r="BA11" i="10"/>
  <c r="AZ11" i="10"/>
  <c r="AX11" i="10"/>
  <c r="AW11" i="10"/>
  <c r="AV11" i="10"/>
  <c r="AA11" i="10"/>
  <c r="X11" i="10"/>
  <c r="W11" i="10"/>
  <c r="V11" i="10"/>
  <c r="T11" i="10"/>
  <c r="S11" i="10"/>
  <c r="R11" i="10"/>
  <c r="Q11" i="10"/>
  <c r="P11" i="10"/>
  <c r="M33" i="9"/>
  <c r="M30" i="9"/>
  <c r="L33" i="9"/>
  <c r="K33" i="9"/>
  <c r="J33" i="9"/>
  <c r="L30" i="9"/>
  <c r="K30" i="9"/>
  <c r="J30" i="9"/>
  <c r="L22" i="9"/>
  <c r="K22" i="9"/>
  <c r="J22" i="9"/>
  <c r="L18" i="9"/>
  <c r="K18" i="9"/>
  <c r="J18" i="9"/>
  <c r="L14" i="9"/>
  <c r="K14" i="9"/>
  <c r="J14" i="9"/>
  <c r="L11" i="9"/>
  <c r="K11" i="9"/>
  <c r="J11" i="9"/>
  <c r="AA33" i="9"/>
  <c r="Z33" i="9"/>
  <c r="Y33" i="9"/>
  <c r="X33" i="9"/>
  <c r="W33" i="9"/>
  <c r="V33" i="9"/>
  <c r="U33" i="9"/>
  <c r="T33" i="9"/>
  <c r="S33" i="9"/>
  <c r="R33" i="9"/>
  <c r="P33" i="9"/>
  <c r="AA30" i="9"/>
  <c r="Z30" i="9"/>
  <c r="Y30" i="9"/>
  <c r="X30" i="9"/>
  <c r="W30" i="9"/>
  <c r="V30" i="9"/>
  <c r="U30" i="9"/>
  <c r="T30" i="9"/>
  <c r="S30" i="9"/>
  <c r="R30" i="9"/>
  <c r="Q30" i="9"/>
  <c r="P30" i="9"/>
  <c r="AF29" i="9"/>
  <c r="N24" i="9"/>
  <c r="N23" i="9"/>
  <c r="AA22" i="9"/>
  <c r="W22" i="9"/>
  <c r="T22" i="9"/>
  <c r="S22" i="9"/>
  <c r="Q22" i="9"/>
  <c r="P22" i="9"/>
  <c r="N20" i="9"/>
  <c r="N19" i="9"/>
  <c r="AA18" i="9"/>
  <c r="V18" i="9"/>
  <c r="T18" i="9"/>
  <c r="S18" i="9"/>
  <c r="Q18" i="9"/>
  <c r="P18" i="9"/>
  <c r="AA14" i="9"/>
  <c r="T14" i="9"/>
  <c r="S14" i="9"/>
  <c r="Q14" i="9"/>
  <c r="P14" i="9"/>
  <c r="N12" i="9"/>
  <c r="N11" i="9" s="1"/>
  <c r="AA11" i="9"/>
  <c r="X11" i="9"/>
  <c r="W11" i="9"/>
  <c r="V11" i="9"/>
  <c r="T11" i="9"/>
  <c r="S11" i="9"/>
  <c r="Q11" i="9"/>
  <c r="P11" i="9"/>
  <c r="L14" i="8"/>
  <c r="K14" i="8"/>
  <c r="L11" i="8"/>
  <c r="K11" i="8"/>
  <c r="J11" i="8"/>
  <c r="AA14" i="8"/>
  <c r="W14" i="8"/>
  <c r="T14" i="8"/>
  <c r="S14" i="8"/>
  <c r="R14" i="8"/>
  <c r="Q14" i="8"/>
  <c r="P14" i="8"/>
  <c r="J14" i="8"/>
  <c r="AA11" i="8"/>
  <c r="X11" i="8"/>
  <c r="W11" i="8"/>
  <c r="V11" i="8"/>
  <c r="T11" i="8"/>
  <c r="S11" i="8"/>
  <c r="R11" i="8"/>
  <c r="Q11" i="8"/>
  <c r="P11" i="8"/>
  <c r="M14" i="7"/>
  <c r="M11" i="7"/>
  <c r="L19" i="7"/>
  <c r="K19" i="7"/>
  <c r="J19" i="7"/>
  <c r="L14" i="7"/>
  <c r="K14" i="7"/>
  <c r="J14" i="7"/>
  <c r="N11" i="7"/>
  <c r="L11" i="7"/>
  <c r="K11" i="7"/>
  <c r="J11" i="7"/>
  <c r="AA19" i="7"/>
  <c r="W19" i="7"/>
  <c r="T19" i="7"/>
  <c r="S19" i="7"/>
  <c r="R19" i="7"/>
  <c r="Q19" i="7"/>
  <c r="P19" i="7"/>
  <c r="AA14" i="7"/>
  <c r="W14" i="7"/>
  <c r="T14" i="7"/>
  <c r="S14" i="7"/>
  <c r="R14" i="7"/>
  <c r="Q14" i="7"/>
  <c r="P14" i="7"/>
  <c r="AA11" i="7"/>
  <c r="Y11" i="7"/>
  <c r="X11" i="7"/>
  <c r="V11" i="7"/>
  <c r="T11" i="7"/>
  <c r="S11" i="7"/>
  <c r="R11" i="7"/>
  <c r="Q11" i="7"/>
  <c r="P11" i="7"/>
  <c r="L11" i="6"/>
  <c r="K11" i="6"/>
  <c r="AA11" i="6"/>
  <c r="X11" i="6"/>
  <c r="W11" i="6"/>
  <c r="T11" i="6"/>
  <c r="S11" i="6"/>
  <c r="R11" i="6"/>
  <c r="Q11" i="6"/>
  <c r="P11" i="6"/>
  <c r="J11" i="6"/>
  <c r="M32" i="5"/>
  <c r="M23" i="5"/>
  <c r="L32" i="5"/>
  <c r="K32" i="5"/>
  <c r="J32" i="5"/>
  <c r="L26" i="5"/>
  <c r="K26" i="5"/>
  <c r="L23" i="5"/>
  <c r="K23" i="5"/>
  <c r="AA11" i="5"/>
  <c r="X11" i="5"/>
  <c r="W11" i="5"/>
  <c r="V11" i="5"/>
  <c r="T11" i="5"/>
  <c r="S11" i="5"/>
  <c r="R11" i="5"/>
  <c r="Q11" i="5"/>
  <c r="P11" i="5"/>
  <c r="L11" i="5"/>
  <c r="K11" i="5"/>
  <c r="J11" i="5"/>
  <c r="N32" i="5"/>
  <c r="AA32" i="5"/>
  <c r="Y32" i="5"/>
  <c r="X32" i="5"/>
  <c r="W32" i="5"/>
  <c r="V32" i="5"/>
  <c r="U32" i="5"/>
  <c r="T32" i="5"/>
  <c r="S32" i="5"/>
  <c r="R32" i="5"/>
  <c r="Q32" i="5"/>
  <c r="P32" i="5"/>
  <c r="AA26" i="5"/>
  <c r="X26" i="5"/>
  <c r="W26" i="5"/>
  <c r="V26" i="5"/>
  <c r="T26" i="5"/>
  <c r="S26" i="5"/>
  <c r="R26" i="5"/>
  <c r="Q26" i="5"/>
  <c r="P26" i="5"/>
  <c r="J26" i="5"/>
  <c r="N23" i="5"/>
  <c r="AA23" i="5"/>
  <c r="W23" i="5"/>
  <c r="V23" i="5"/>
  <c r="T23" i="5"/>
  <c r="S23" i="5"/>
  <c r="R23" i="5"/>
  <c r="Q23" i="5"/>
  <c r="P23" i="5"/>
  <c r="J23" i="5"/>
  <c r="N21" i="5"/>
  <c r="N20" i="5"/>
  <c r="N19" i="5"/>
  <c r="N18" i="5"/>
  <c r="N17" i="5"/>
  <c r="AA14" i="5"/>
  <c r="T14" i="5"/>
  <c r="S14" i="5"/>
  <c r="R14" i="5"/>
  <c r="Q14" i="5"/>
  <c r="P14" i="5"/>
  <c r="J14" i="5"/>
  <c r="BC14" i="4"/>
  <c r="BB14" i="4"/>
  <c r="BA14" i="4"/>
  <c r="AZ14" i="4"/>
  <c r="AY14" i="4"/>
  <c r="AX14" i="4"/>
  <c r="AW14" i="4"/>
  <c r="AV14" i="4"/>
  <c r="L14" i="4"/>
  <c r="K14" i="4"/>
  <c r="J14" i="4"/>
  <c r="L11" i="4"/>
  <c r="K11" i="4"/>
  <c r="N14" i="7" l="1"/>
  <c r="N20" i="10"/>
  <c r="N30" i="9"/>
  <c r="N33" i="9"/>
  <c r="N18" i="9"/>
  <c r="N22" i="9"/>
  <c r="BC11" i="4"/>
  <c r="BB11" i="4"/>
  <c r="AA14" i="4"/>
  <c r="V14" i="4"/>
  <c r="S14" i="4"/>
  <c r="R14" i="4"/>
  <c r="Q14" i="4"/>
  <c r="P14" i="4"/>
  <c r="BA11" i="4"/>
  <c r="AZ11" i="4"/>
  <c r="AY11" i="4"/>
  <c r="AX11" i="4"/>
  <c r="AV11" i="4"/>
  <c r="AA11" i="4"/>
  <c r="Z11" i="4"/>
  <c r="X11" i="4"/>
  <c r="W11" i="4"/>
  <c r="U11" i="4"/>
  <c r="T11" i="4"/>
  <c r="S11" i="4"/>
  <c r="R11" i="4"/>
  <c r="Q11" i="4"/>
  <c r="P11" i="4"/>
  <c r="J11" i="4"/>
  <c r="BA19" i="3"/>
  <c r="AW19" i="3"/>
  <c r="BB19" i="3"/>
  <c r="AX19" i="3"/>
  <c r="BC16" i="3"/>
  <c r="AY16" i="3"/>
  <c r="AW16" i="3"/>
  <c r="AY11" i="3"/>
  <c r="L27" i="3"/>
  <c r="K27" i="3"/>
  <c r="M24" i="3"/>
  <c r="L24" i="3"/>
  <c r="K24" i="3"/>
  <c r="N27" i="3"/>
  <c r="N24" i="3"/>
  <c r="AA27" i="3"/>
  <c r="X27" i="3"/>
  <c r="W27" i="3"/>
  <c r="V27" i="3"/>
  <c r="U27" i="3"/>
  <c r="T27" i="3"/>
  <c r="S27" i="3"/>
  <c r="R27" i="3"/>
  <c r="Q27" i="3"/>
  <c r="P27" i="3"/>
  <c r="AA24" i="3"/>
  <c r="Z24" i="3"/>
  <c r="Y24" i="3"/>
  <c r="X24" i="3"/>
  <c r="W24" i="3"/>
  <c r="V24" i="3"/>
  <c r="U24" i="3"/>
  <c r="T24" i="3"/>
  <c r="S24" i="3"/>
  <c r="R24" i="3"/>
  <c r="Q24" i="3"/>
  <c r="P24" i="3"/>
  <c r="AA19" i="3"/>
  <c r="X19" i="3"/>
  <c r="W19" i="3"/>
  <c r="U19" i="3"/>
  <c r="T19" i="3"/>
  <c r="S19" i="3"/>
  <c r="R19" i="3"/>
  <c r="Q19" i="3"/>
  <c r="P19" i="3"/>
  <c r="AA16" i="3"/>
  <c r="Z16" i="3"/>
  <c r="Y16" i="3"/>
  <c r="W16" i="3"/>
  <c r="V16" i="3"/>
  <c r="U16" i="3"/>
  <c r="T16" i="3"/>
  <c r="S16" i="3"/>
  <c r="R16" i="3"/>
  <c r="Q16" i="3"/>
  <c r="P16" i="3"/>
  <c r="M19" i="3"/>
  <c r="L19" i="3"/>
  <c r="K19" i="3"/>
  <c r="L16" i="3"/>
  <c r="K16" i="3"/>
  <c r="M11" i="3"/>
  <c r="L11" i="3"/>
  <c r="K11" i="3"/>
  <c r="BC27" i="3"/>
  <c r="BB27" i="3"/>
  <c r="BA27" i="3"/>
  <c r="AZ27" i="3"/>
  <c r="AY27" i="3"/>
  <c r="AX27" i="3"/>
  <c r="AW27" i="3"/>
  <c r="AV27" i="3"/>
  <c r="J27" i="3"/>
  <c r="BC24" i="3"/>
  <c r="BB24" i="3"/>
  <c r="BA24" i="3"/>
  <c r="AZ24" i="3"/>
  <c r="AY24" i="3"/>
  <c r="AX24" i="3"/>
  <c r="AW24" i="3"/>
  <c r="AV24" i="3"/>
  <c r="J24" i="3"/>
  <c r="AT23" i="3"/>
  <c r="AF23" i="3"/>
  <c r="BC19" i="3"/>
  <c r="AZ19" i="3"/>
  <c r="AY19" i="3"/>
  <c r="AV19" i="3"/>
  <c r="J19" i="3"/>
  <c r="BB16" i="3"/>
  <c r="BA16" i="3"/>
  <c r="AZ16" i="3"/>
  <c r="AX16" i="3"/>
  <c r="AV16" i="3"/>
  <c r="J16" i="3"/>
  <c r="AT15" i="3"/>
  <c r="BC11" i="3"/>
  <c r="BB11" i="3"/>
  <c r="BA11" i="3"/>
  <c r="AZ11" i="3"/>
  <c r="AW11" i="3"/>
  <c r="AV11" i="3"/>
  <c r="AA11" i="3"/>
  <c r="Z11" i="3"/>
  <c r="X11" i="3"/>
  <c r="W11" i="3"/>
  <c r="V11" i="3"/>
  <c r="T11" i="3"/>
  <c r="R11" i="3"/>
  <c r="Q11" i="3"/>
  <c r="P11" i="3"/>
  <c r="J11" i="3"/>
  <c r="AT10" i="3"/>
  <c r="BB14" i="2" l="1"/>
  <c r="BA14" i="2"/>
  <c r="AZ14" i="2"/>
  <c r="AY14" i="2"/>
  <c r="AX14" i="2"/>
  <c r="AW14" i="2"/>
  <c r="AV14" i="2"/>
  <c r="AU14" i="2"/>
  <c r="BB11" i="2"/>
  <c r="BA11" i="2"/>
  <c r="AZ11" i="2"/>
  <c r="AY11" i="2"/>
  <c r="AX11" i="2"/>
  <c r="AW11" i="2"/>
  <c r="AV11" i="2"/>
  <c r="AU11" i="2"/>
</calcChain>
</file>

<file path=xl/sharedStrings.xml><?xml version="1.0" encoding="utf-8"?>
<sst xmlns="http://schemas.openxmlformats.org/spreadsheetml/2006/main" count="1621" uniqueCount="343">
  <si>
    <t>201 DIRECCIÓN SUPERIOR *</t>
  </si>
  <si>
    <t xml:space="preserve">FÍSICO </t>
  </si>
  <si>
    <t>PRESUPUESTO Q.</t>
  </si>
  <si>
    <t xml:space="preserve">NIVEL </t>
  </si>
  <si>
    <t>PG</t>
  </si>
  <si>
    <t>SP</t>
  </si>
  <si>
    <t>PY</t>
  </si>
  <si>
    <t>AC</t>
  </si>
  <si>
    <t>OB</t>
  </si>
  <si>
    <t>META</t>
  </si>
  <si>
    <t>DESCRIPCIÓN</t>
  </si>
  <si>
    <t>UNIDAD DE  MEDIDA</t>
  </si>
  <si>
    <t>POA</t>
  </si>
  <si>
    <t>INICIAL</t>
  </si>
  <si>
    <t>VIGENTE</t>
  </si>
  <si>
    <t>EJECUTADO ACUMULADO</t>
  </si>
  <si>
    <t>EJECUTADO MENSUAL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</si>
  <si>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</si>
  <si>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</si>
  <si>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</si>
  <si>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</si>
  <si>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</si>
  <si>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</si>
  <si>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</si>
  <si>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</si>
  <si>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</si>
  <si>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</si>
  <si>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</si>
  <si>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</si>
  <si>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ACTIVIDADES CENTRALES</t>
  </si>
  <si>
    <t>SIN SUBPROGRAMA</t>
  </si>
  <si>
    <t>SIN PROYECTO</t>
  </si>
  <si>
    <t>DIRECCIÓN SUPERIOR</t>
  </si>
  <si>
    <t>Dirección Superior</t>
  </si>
  <si>
    <t>Evento</t>
  </si>
  <si>
    <t>SERVICIOS ADMINISTRATIVOS</t>
  </si>
  <si>
    <t>Servicios administrativos</t>
  </si>
  <si>
    <t xml:space="preserve"> </t>
  </si>
  <si>
    <t>SERVICIOS FINANCIEROS</t>
  </si>
  <si>
    <t>Servicios financieros</t>
  </si>
  <si>
    <t>PARTIDAS NO ASIGNADAS A PROGRAMAS</t>
  </si>
  <si>
    <t>APORTES A ENTIDADES DE TRANSPORTE</t>
  </si>
  <si>
    <t>Personas jurídicas beneficiadas con aportes y/o cuotas para transporte</t>
  </si>
  <si>
    <t>Aporte</t>
  </si>
  <si>
    <t xml:space="preserve">APORTES Y CUOTAS A ORGANISMOS DE COMUNICACIONES </t>
  </si>
  <si>
    <t>Personas jurídicas beneficiadas con aportes y/o cuotas para comunicaciones</t>
  </si>
  <si>
    <t>CUOTAS A ORGANIZACIONES DE CONTROL DE MEDIO AMBIENTE</t>
  </si>
  <si>
    <t>Personas jurídicas beneficiadas con aportes y/o cuotas para control del medio ambiente</t>
  </si>
  <si>
    <t>Personas jurídicas beneficiadas con aporte y cuotas para control del medio ambiente</t>
  </si>
  <si>
    <t>MINISTERIO DE COMUNICACIONES, INFRAESTRUCTURA Y VIVIENDA</t>
  </si>
  <si>
    <t xml:space="preserve">SEGUIMIENTO DE FUNCIONAMIENTO </t>
  </si>
  <si>
    <t>POA FORMULACIÓN 2023</t>
  </si>
  <si>
    <t>POA FORMULACIÓN 2024</t>
  </si>
  <si>
    <t>POA FORMULACIÓN 2025</t>
  </si>
  <si>
    <t>META FÍSICA</t>
  </si>
  <si>
    <t>POA FORMULACIÓN 2026</t>
  </si>
  <si>
    <t>* DIRECCIÓN SUPERIOR NO INCLUYE INFORMACIÓN DE DTPs, DERIVADO QUE LA INFORMACIÓN DEL PROGRAMA 01 NO MIGRA ENTRE SISTEMAS.</t>
  </si>
  <si>
    <t>202  DIRECCIÓN GENERAL DE CAMINOS</t>
  </si>
  <si>
    <t>DESARROLLO DE LA INFRAESTRUCTURA VIAL</t>
  </si>
  <si>
    <t>DIRECCIÓN Y COORDINACIÓN</t>
  </si>
  <si>
    <t>Dirección y coordinación</t>
  </si>
  <si>
    <t>MANTENIMIENTO DE LA RED VIAL</t>
  </si>
  <si>
    <t>Red vial con servicios de mantenimiento</t>
  </si>
  <si>
    <t>Kilómetro</t>
  </si>
  <si>
    <t>Documento</t>
  </si>
  <si>
    <t>DTPs</t>
  </si>
  <si>
    <t>DPTs</t>
  </si>
  <si>
    <t>203  UNIDAD EJECUTORA DE CONSERVACIÓN VIAL</t>
  </si>
  <si>
    <t>FORUMULACIÓN POA 2023</t>
  </si>
  <si>
    <t>FORUMULACIÓN POA 2024</t>
  </si>
  <si>
    <t>FORUMULACIÓN POA 2025</t>
  </si>
  <si>
    <t>DESARROLLO DE LA INFRAESTRUCTURA VIAL PRIMARIA Y SECUNDARIA</t>
  </si>
  <si>
    <t>MANTENIMIENTO DE LA RED VIAL PAVIMENTADA (FIDEICOMISO)</t>
  </si>
  <si>
    <t>Red vial pavimentada con servicios de mantenimiento</t>
  </si>
  <si>
    <t>MANTENIMIENTO DE LA RED VIAL PAVIMENTADA (EJECUCION NORMAL)</t>
  </si>
  <si>
    <t>Red vial pavimentada con servicios de mantenimiento (Ejecución Normal)</t>
  </si>
  <si>
    <t>Red vial pavimentada con mantenimiento (ejecucion normal)</t>
  </si>
  <si>
    <t>DESARROLLO DE LA INFRAESTRUCTURA VIAL TERCIARIA</t>
  </si>
  <si>
    <t>MANTENIMIENTO DE LA RED VIAL TERCIARIA (FIDEICOMISO)</t>
  </si>
  <si>
    <t>Red vial terciaria con servicios de mantenimiento</t>
  </si>
  <si>
    <t>Red vial rural con servicios de mantenimiento</t>
  </si>
  <si>
    <t>MANTENIMIENTO DE LA RED VIAL TERCIARIA (EJECUCION NORMAL)</t>
  </si>
  <si>
    <t>Red vial terciaria con mantenimiento (ejecucion normal)</t>
  </si>
  <si>
    <t>Metro cuadrado</t>
  </si>
  <si>
    <t>FORUMULACIÓN POA 2026</t>
  </si>
  <si>
    <t>204   DIRECCIÓN GENERAL DE TRANSPORTES</t>
  </si>
  <si>
    <t>REGULACIÓN DE TRANSPORTE EXTRAURBANO POR CARRETERA</t>
  </si>
  <si>
    <t>REGULACION DE TRANSPORTE</t>
  </si>
  <si>
    <t>Regulación de transporte extraurbano y de carga por carretera</t>
  </si>
  <si>
    <t>Personas jurídicas o individuales con licencias otorgadas de transporte extraurbano de pasajeros por carretera</t>
  </si>
  <si>
    <t>Operativos de control fijo del servicio de transporte extraurbano</t>
  </si>
  <si>
    <t>Personas jurídicas o individuales con permisos temporales otorgados para el transporte extraurbano de pasajeros por carretera</t>
  </si>
  <si>
    <t>Personas jurídicas o individuales con licencias modificadas de transporte extraurbano de pasajeros por carretera</t>
  </si>
  <si>
    <t>Personas jurídicas o individuales con permisos expresos para el transporte extraurbano de pasajeros por carretera</t>
  </si>
  <si>
    <t>Personas jurídicas o individuales con constancias de registro de pilotos para el transporte extraurbano de pasajeros por carretera</t>
  </si>
  <si>
    <t>205   DIRECCION GENERAL DE AERONAUTICA CIVIL</t>
  </si>
  <si>
    <t>SERVICIOS AERONÁUTICOS Y AEROPORTUARIOS</t>
  </si>
  <si>
    <t>SERVICIOS A LA NAVEGACIÓN AÉREA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</si>
  <si>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</si>
  <si>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</si>
  <si>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</si>
  <si>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</si>
  <si>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</si>
  <si>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</si>
  <si>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</si>
  <si>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</si>
  <si>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inspección técnica</t>
  </si>
  <si>
    <t>Aeronaves nacionales y extranjeras con certificado de matrícula autorizada y renovada</t>
  </si>
  <si>
    <t>Aeronaves con servicios de pernocte en rampa internacional del aeropuerto</t>
  </si>
  <si>
    <t>SEGURIDAD AEROPORTUARIA</t>
  </si>
  <si>
    <t>SERVICIOS DE MANTENIMIENTO A LA INFRAESTRUCTURA AEROPORTUARIA</t>
  </si>
  <si>
    <t>Infraestructura de la red aeroportuaria nacional con  servicios de mantenimiento</t>
  </si>
  <si>
    <t>PARTIDAS NO ASIGNABLES A PROGRAMAS</t>
  </si>
  <si>
    <t>APORTES Y CUOTAS A ORGANISMOS DE COMUNICACIONES</t>
  </si>
  <si>
    <t>Personas jurídicas beneficiadas con
aportes y/o cuotas para comunicaciones</t>
  </si>
  <si>
    <t>Aeronaves con servicios operativos de aviación y soporte técnico</t>
  </si>
  <si>
    <t>206   UNIDAD DE CONSTRUCCION DE EDIFICIOS DEL ESTADO -UCEE-</t>
  </si>
  <si>
    <t xml:space="preserve">PRESUPUESTO Q. </t>
  </si>
  <si>
    <t>CONSTRUCCIÓN DE OBRA PÚBLICA</t>
  </si>
  <si>
    <t xml:space="preserve">Población estudiantil beneficiada con equipo educacional </t>
  </si>
  <si>
    <t>Remozamiento de Edificios Públicos</t>
  </si>
  <si>
    <t>Establecimientos educativos con módulos instalados para cocinas dignas</t>
  </si>
  <si>
    <t>Entidad</t>
  </si>
  <si>
    <t>207   DIRECCION GENERAL DE RADIODIFUSIÓN Y TELEVISION NACIONAL</t>
  </si>
  <si>
    <t>SERVICIOS DE RADIODIFUSIÓN Y TELEVISIÓN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</si>
  <si>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</si>
  <si>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</si>
  <si>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</si>
  <si>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Tecnicos con registro en radio y/o television</t>
  </si>
  <si>
    <t>Locutores registrados en radio y/o television</t>
  </si>
  <si>
    <t>SERVICIOS DE RADIODIFUSIÓN</t>
  </si>
  <si>
    <t>Servicios de radiodifusión</t>
  </si>
  <si>
    <t>Programas radiales a control remoto difundidos</t>
  </si>
  <si>
    <t>Programas radiales difundidos</t>
  </si>
  <si>
    <t>Spot gubernamentales otorgados a entidades públicas</t>
  </si>
  <si>
    <t xml:space="preserve">208   UNIDAD DE CONTROL Y SUPERVISIÓN DE CABLE   </t>
  </si>
  <si>
    <t>SERVICIOS DE CABLE POR TELEVISIÓN</t>
  </si>
  <si>
    <t>SERVICIOS DE REGULACIÓN Y SUPERVISIÓN DE EMPRESAS DE CABLE</t>
  </si>
  <si>
    <t>Empresas de cable con registro y supervisión</t>
  </si>
  <si>
    <t>Empresas de cable con visitas de supervisión</t>
  </si>
  <si>
    <t>Empresas de cable nuevas con registro</t>
  </si>
  <si>
    <t>Empresas sancionadas por incumplimiento a la ley del cable</t>
  </si>
  <si>
    <t>209   INSTITUTO NACIONAL DE SISMOLOGIA, VULCANOLOGIA, METEOROLOGIA E HIDROLOGIA</t>
  </si>
  <si>
    <t>SERVICIOS DE INFORMACIÓN SISMOLÓGICA, CLIMÁTICA, METEOROLÓGICA E HIDROLÓGICA</t>
  </si>
  <si>
    <t>SERVICIOS DE INFORMACIÓN CLIMÁTICA Y METEOROLÓGICA</t>
  </si>
  <si>
    <t>Boletin con información climática</t>
  </si>
  <si>
    <t>Usuarios atendidos con información climática</t>
  </si>
  <si>
    <t>Boletines emitidos con información meteorológica</t>
  </si>
  <si>
    <t>SERVICIOS DE INFORMACIÓN SISMOLÓGICA Y GEOLÓGICA</t>
  </si>
  <si>
    <t>Información de amenaza sísmica y volcánica registrada</t>
  </si>
  <si>
    <t>Boletines emitidos con información geológica</t>
  </si>
  <si>
    <t>Informes emitidos sobre deslizamiento de tierra</t>
  </si>
  <si>
    <t>SERVICIOS DE INFORMACIÓN HIDROLÓGICA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</si>
  <si>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</si>
  <si>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</si>
  <si>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</si>
  <si>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</si>
  <si>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CUOTAS A ORGANIZACIONES DE CONTROL DEL MEDIO AMBIENTE</t>
  </si>
  <si>
    <t>210   DIRECCIÓN GENERAL DE CORREOS Y TELÉGRAFOS</t>
  </si>
  <si>
    <t>SERVICIOS DE CORREOS Y TELÉGRAFOS</t>
  </si>
  <si>
    <t>SERVICIOS POSTALES</t>
  </si>
  <si>
    <t>Personas Individuales y/o Jurídicas con servicios postales otorgados</t>
  </si>
  <si>
    <t>Personas Jurídicas o individuales con servicion postales otorgados</t>
  </si>
  <si>
    <t>211  SUPERINTENDENCIA DE TELECOMUNICACIONES</t>
  </si>
  <si>
    <t>REGULACION DE TELECOMUNICACIONES</t>
  </si>
  <si>
    <t>REGULACIÓN DEL USO DE FRECUENCIAS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</si>
  <si>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</si>
  <si>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</si>
  <si>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</si>
  <si>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</si>
  <si>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</si>
  <si>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REGULACIÓN DE LA TELEFONÍA</t>
  </si>
  <si>
    <t>Recursos de telefonía regulados</t>
  </si>
  <si>
    <t>Operadores de telefonía registrados</t>
  </si>
  <si>
    <t>Registro</t>
  </si>
  <si>
    <t>Numeración asignada a personas jurídicas y /o individuales</t>
  </si>
  <si>
    <t>Puntos de señalización asignados a personas jurídicas y/o individuales</t>
  </si>
  <si>
    <t>Constancias de inscripción de usuarios jurídicos y/o individuales de telecomunicaciones móviles</t>
  </si>
  <si>
    <t>212  FONDO PARA EL DESARROLLO DE LA TELEFONÍA</t>
  </si>
  <si>
    <t>SERVICIOS PARA EL DESARROLLO DE LA TELEFONÍA</t>
  </si>
  <si>
    <t>DESARROLLO DE LA TELEFONÍA</t>
  </si>
  <si>
    <t>Personas beneficiadas con proyectos, supervisión de telefonía y conectividad subsidiados</t>
  </si>
  <si>
    <t>Personas beneficiadas con servicios de telefonía y conectividad subsidiados</t>
  </si>
  <si>
    <t>214  UNIDAD PARA EL DESARROLLO DE VIVIENDA POPULAR</t>
  </si>
  <si>
    <t>SERVICIOS DE URBANIZACIÓN, LEGALIZACIÓN, CONSTRUCCIÓN Y MEJORAMIENTO</t>
  </si>
  <si>
    <t>SERVICIOS DE ADJUDICACIÓN Y LEGALIZACION DE BIENES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</si>
  <si>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</si>
  <si>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</si>
  <si>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</si>
  <si>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</si>
  <si>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216  DIRECCIÓN GENERAL DE PROTECCIÓN Y SEGURIDAD VIAL</t>
  </si>
  <si>
    <t>SERVICIOS DE PROTECCIÓN Y SEGURIDAD VIAL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</si>
  <si>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</si>
  <si>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</si>
  <si>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</si>
  <si>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</si>
  <si>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</si>
  <si>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Personas capacitadas en el programa de educación y seguridad vial</t>
  </si>
  <si>
    <t>Elementos formados como brigadas de protección y seguridad vial en carretera</t>
  </si>
  <si>
    <t>Conductores atendidos con servicios de seguridad y asistencia vial en carretera</t>
  </si>
  <si>
    <t>Investigaciones realizadas de accidentes de tránsito en carreteras</t>
  </si>
  <si>
    <t>217  FONDO SOCIAL DE SOLIDARIDAD</t>
  </si>
  <si>
    <t>Direccion y Coordinacion (Convoyes)</t>
  </si>
  <si>
    <t>DESARROLLO DE LA VIVIENDA</t>
  </si>
  <si>
    <t>SERVICIOS DE URBANIZACION, LEGALIZACION, CONSTRUCCION Y MEJORAMIENTO DE BIENES INMUEBLES</t>
  </si>
  <si>
    <t>218   FONDO PARA LA VIVIENDA</t>
  </si>
  <si>
    <t xml:space="preserve">FISICO </t>
  </si>
  <si>
    <t>SUBSIDIO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</si>
  <si>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</si>
  <si>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</si>
  <si>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</si>
  <si>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</si>
  <si>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</si>
  <si>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construcción de vivienda</t>
  </si>
  <si>
    <t>6 productos</t>
  </si>
  <si>
    <t>6 subproductos</t>
  </si>
  <si>
    <t>2 productos</t>
  </si>
  <si>
    <t>2 subproductos</t>
  </si>
  <si>
    <t>5 productos</t>
  </si>
  <si>
    <t>5 subproductos</t>
  </si>
  <si>
    <t>2 produtos</t>
  </si>
  <si>
    <t>7 subproductos</t>
  </si>
  <si>
    <t>11 subproductos</t>
  </si>
  <si>
    <t>3 productos</t>
  </si>
  <si>
    <t>2 prductos</t>
  </si>
  <si>
    <t>10 subproductos</t>
  </si>
  <si>
    <t>3 subproductos</t>
  </si>
  <si>
    <t>4 productos</t>
  </si>
  <si>
    <t>8 subproductos</t>
  </si>
  <si>
    <t>total de productos civ        49</t>
  </si>
  <si>
    <t xml:space="preserve">total de subptos civ           93  </t>
  </si>
  <si>
    <t>ATENCION POR DESASTRES NATURALES Y CALAMIDADES PUBLICAS</t>
  </si>
  <si>
    <t>ESTADO DE CALAMIDAD PUBLICA POR DEPRESION TROPICAL ETA (DG 20-2020 Y 21-2020)</t>
  </si>
  <si>
    <t>INTERVENCIONES REALIZADAS PARA LA ATENCION DE DAÑOS PROVOCADOS POR DEPRESIÓN TROPICAL ETA</t>
  </si>
  <si>
    <t>Intervenciones realizadas para la atención de daños provocados por Depresión Tropical ETA</t>
  </si>
  <si>
    <t>MANTENIMIENTO Y CONSTRUCCION DE INFRAESTRUCTURA ESTRATEGICA (DECRETO 21-2022)</t>
  </si>
  <si>
    <t>MANTENIMIENTO DE LA RED VIAL, RUTAS CENTROAMERICANAS</t>
  </si>
  <si>
    <t>Red vial con servicios de rehabilitación</t>
  </si>
  <si>
    <t>SERVICIOS DE ASISTENCIA TECNICA Y ADQUISICION DE PUENTES</t>
  </si>
  <si>
    <t>Servicios de asistencia técnica y adquisición de puentes</t>
  </si>
  <si>
    <t>Adquisición de puentes bailey</t>
  </si>
  <si>
    <t>Red vial de rutas centroamericanas con servicios de mantenimiento</t>
  </si>
  <si>
    <t>Red vial con servicios de recapeo</t>
  </si>
  <si>
    <t>Red vial con servicios de señalización</t>
  </si>
  <si>
    <t>MANTENIMIENTO DE LA RED VIAL, RUTAS NACIONALES</t>
  </si>
  <si>
    <t>Red vial de rutas nacionales con servicios mantenimiento</t>
  </si>
  <si>
    <t>MANTENIMIENTO DE LA RED VIAL, RUTAS DEPARTAMENTALES</t>
  </si>
  <si>
    <t>Red vial de rutas departamentales con servicios de mantenimiento</t>
  </si>
  <si>
    <t>Asistencia técnica y control de calidad</t>
  </si>
  <si>
    <t>Remozamiento de edificios públicos para la atención de daños provocados por depresiones tropicales</t>
  </si>
  <si>
    <t xml:space="preserve">  </t>
  </si>
  <si>
    <t xml:space="preserve">JUNIO </t>
  </si>
  <si>
    <t>ESTADO DE CALAMIDAD PÚBLICA POR ÉPOCA LLUVIOSA, TEMPORADA CICLÓNICA Y SISTEMAS</t>
  </si>
  <si>
    <t>INTERVENCIONES REALIZADAS PARA LA ATENCIÓN DE LA EMERGENCIA
POR ÉPOCA LLUVIOSA, TEMPORADA CICLÓNICA Y SISTEMAS DE BAJA
PRESIÓN</t>
  </si>
  <si>
    <t>Intervenciones realizadas para la atención de la emergencia
por Época Lluviosa, Temporada Ciclónica y Sistema de Baja
Presión</t>
  </si>
  <si>
    <t>INTERVENCIONES REALIZADAS PARA LA ATENCIÓN DE LA EMERGENCIA</t>
  </si>
  <si>
    <t>POR ÉPOCA LLUVIOSA, TEMPORADA CICLÓNICA Y SISTEMAS DE BAJA</t>
  </si>
  <si>
    <t>ATENCION POR DESASTRES NATURALES Y CALAMIDADES PUBLICAS
11 ESTADO DE CALAMIDAD PUBLICA POR DEPRESION TROPICAL ETA (DG 20-2020 Y 21-2020)</t>
  </si>
  <si>
    <t>INTERVENCIONES REALIZADAS PARA LA ATENCION DE DAÑOS
PROVOCADOS POR DEPRESIÓN TROPICAL ETA</t>
  </si>
  <si>
    <t>Intervenciones realizadas para la atención de daños
provocados por Depresión Tropical ETA</t>
  </si>
  <si>
    <t xml:space="preserve">Documento </t>
  </si>
  <si>
    <t>DOCUMENTOS</t>
  </si>
  <si>
    <t>INTERVENCIONES REALIZADAS PARA LA ATENCIÓN DE LA EMERGENCIA
POR ÉPOCA LLUVIOSA, TEMPORADA CICLÓNICA Y SISTEMAS DE BAJA
PRESIÓNINTERVENCIONES REALIZADAS PARA LA ATENCIÓN DE LA EMERGENCIA PROVOCADA POR LOS EFECTOS DE LA ÉPOCA LLUVIOSA Y EL CICLÓN TROPICAL JULIA</t>
  </si>
  <si>
    <t>Intervenciones Realizadas Para La Atención De La Emergencia Provocada Por Los Efectos De La Época Lluviosa Y El Ciclón Tropical  Julia</t>
  </si>
  <si>
    <t>Familias Beneficiadas Con Subsidio Para Construcción De Vivienda Por Atención De Daños</t>
  </si>
  <si>
    <t xml:space="preserve">EJERCICIO FISCAL 2022 - ACTUALIZADA NOVIEMBRE </t>
  </si>
  <si>
    <t>PROGRAMA PRESUPUESTARIO: ACTIVIDADES CENTRALES</t>
  </si>
  <si>
    <t>SERVICIOS FINANCIEROS DS</t>
  </si>
  <si>
    <t xml:space="preserve">SERVICIOS ADMINISTRATIVOS DS </t>
  </si>
  <si>
    <t>DIRECCION SUPERIOR DS</t>
  </si>
  <si>
    <t>.</t>
  </si>
  <si>
    <t xml:space="preserve">            </t>
  </si>
  <si>
    <t>PERSONAS JURIDICAS BENEFICIADAS CON APORTES YO CUOTAS PARA TRANSPORTE DS</t>
  </si>
  <si>
    <t>PERSONAS JURIDICAS BENEFICIADAS CON APORTES Y/O CUOTAS PARA COMUNIACIONES SIT</t>
  </si>
  <si>
    <t>PERSONAS JURIDICAS BENEFICIADAS CON APORTES YO CUOTAS PARA COMUNICACIONES DS</t>
  </si>
  <si>
    <t>PERSONAS JURIDICAS BENEFICIADAS CON APORTES YO CUOTAS PARA CONTROL DEL MEDIO AMBIENTE DS</t>
  </si>
  <si>
    <t>PERSONAS JURIDICAS BENEFICIADAS CON APORTES Y/O CUOTAS PARA COMUNICACIONES DGCT</t>
  </si>
  <si>
    <t xml:space="preserve"> PERSONAS JURIDICAS BENEFICIADAS CON APORTES Y/O CUOTAS PARA CONTROL DEL MEDIO AMBIENTE INSIVUMEH</t>
  </si>
  <si>
    <t>PERSONAS JURIDICAS BENEFICIADAS CON APORTES YO CUOTAS PARA COMUNICACIONES INSIVUMEH</t>
  </si>
  <si>
    <t>PERSONAS JURIDICAS BENEFICIADAS CON APORTES Y/O CUOTAS PARA COMUNICACIONES DGAC</t>
  </si>
  <si>
    <t>RED VIAL CON SERVICIOS DE MANTENIMIENTO FSS</t>
  </si>
  <si>
    <t>DIRECCION Y COORDINACION COVIAL</t>
  </si>
  <si>
    <t xml:space="preserve"> DIRECCION Y COORDINACION DGC</t>
  </si>
  <si>
    <t>RED VIAL CON SERVICIOS DE MANTENIMIENTO DGC</t>
  </si>
  <si>
    <t>DESARROLLO DE LA INFRAESTRUCTURA VIAL URBANA</t>
  </si>
  <si>
    <t>MEJORAMIENTO DE CALLES FSS</t>
  </si>
  <si>
    <t>RED VIAL TERCIARIA CON MANTENIMIENTO EJECUCION NORMAL COVIAL</t>
  </si>
  <si>
    <t>MEJORAMIENTO DE CAMINOS RURALES FSS</t>
  </si>
  <si>
    <t>CONSTRUCCION DE PUENTES EN CAMINOS RURALES DGC</t>
  </si>
  <si>
    <t>RED VIAL RURAL CON SERVICIOS DE MANTENIMIENTO FIDEICOMISO COVIAL</t>
  </si>
  <si>
    <t>AMPLIACION CONSTRUCCION MEJORAMIENTO Y RESPOSICION DE CAMINOS RURALES DGC</t>
  </si>
  <si>
    <t>AMPLIACION CONSTRUCCION MEJORAMIENTO Y RESPOSICION DE CAMINOS RURALES Y PUENTES FSS</t>
  </si>
  <si>
    <t>AMPLIACION CONSTRUCCION MEJORAMIENTO Y REPOSICION DE CARRETERAS SECUNDARIAS Y PUENTES FSS</t>
  </si>
  <si>
    <t>AMPLIACION CONSTRUCCION MEJORAMIENTO Y REPOSICION DE CARRETERAS SECUNDARIAS Y PUENTES DGC</t>
  </si>
  <si>
    <t>CONSTRUCCIÓN DE DISTRIBUIDORES DE TRÁNSITO DGC</t>
  </si>
  <si>
    <t>MEJORAMIENTO DE CARRETERAS SECUNDARIAS DGC</t>
  </si>
  <si>
    <t>RED VIAL PAVIMENTADA CON MANTENIMIENTO EJECUCION NORMAL COVIAL</t>
  </si>
  <si>
    <t>AMPLIACION CONSTRUCCION MEJORAMIENTO Y REPOSICION DE CARRETERAS PRIMARIAS, PUENTES Y DISTRIBUIDORES DE TRANSITO DGC</t>
  </si>
  <si>
    <t>RED VIAL PAVIMENTADA CON SERVICIOS DE MANTENIMIENTO FIDEICOMISO COVIAL</t>
  </si>
  <si>
    <t>AMPLIACION CONSTRUCCION MEJORAMIENTO Y REPOSICION DE CARRETERAS PRIMARIAS, PUENTES Y DISTRIBUIDORES DE TRANSITO FSS</t>
  </si>
  <si>
    <t>CONSTRUCCIÓN DE DISTRIBUIDORES DE TRÁNSITO FSS</t>
  </si>
  <si>
    <t>CONSTRUCCION DE OBRA PUBLICA</t>
  </si>
  <si>
    <t>AMPLIACION CONSTRUCCION MEJORAMIENTO Y REPOSICION DE ESTABLECIMIENTOS DE EDUCACION DIVERSIFICADA UCEE</t>
  </si>
  <si>
    <t>DIRECCION Y COORDINACION UCEE</t>
  </si>
  <si>
    <t>CONSTRUCCION, AMPLIACION, REPOSICION Y MEJORAMIENTO DE EDIFICIOS DE PLANIFICACION UCEE</t>
  </si>
  <si>
    <t>CONSTRUCCION DE EDIFICIOS NAVALES UCEE</t>
  </si>
  <si>
    <t>AMPLIACION CONSTRUCCION MEJORAMIENTO Y REPOSICION DE EDIFICIOS ADMINISTRATIVOS DE OTRAS ENTIDADES DEL GOBIERNO CENTRAL</t>
  </si>
  <si>
    <t>MANTENIMIENTO Y CONSTRUCCION DE INFRAESTRUCTURA ESTRATEGICA</t>
  </si>
  <si>
    <t>CONSTRUCCIÓN PASOS A DESNIVEL DGC</t>
  </si>
  <si>
    <t>RED VIAL DE RUTAS CENTROAMERICANAS CON SERVICIOS DE MANTENIMIENTO DGC</t>
  </si>
  <si>
    <t>CONSTRUCCION Y MEJORAMIENTO DE CARRETERAS, CALLES, PUENTES Y PASOS A DESNIVEL FSS</t>
  </si>
  <si>
    <t>SERVICIOS DE ASISTENCIA TECNICA Y ADQUISICION DE PUENTES COVIAL</t>
  </si>
  <si>
    <t>CONSTRUCCIÓN DE PUENTES DGC</t>
  </si>
  <si>
    <t>CONSTRUCCIÓN DE CARRETERAS DGC</t>
  </si>
  <si>
    <t>RED VIAL DE RUTAS NACIONALES CON SERVICIOS MANTENIMIENTO COVIAL</t>
  </si>
  <si>
    <t>CONSTRUCCION Y MEJORAMIENTO DE CARRETERAS, CALLES, PUENTES Y PASOS A DESNIVEL DGC</t>
  </si>
  <si>
    <t>RED VIAL DE RUTAS DEPARTAMENTALES CON SERVICIOS DE MANTENIMIENTO COVIAL</t>
  </si>
  <si>
    <t>SERVICIOS DE ASISTENCIA TECNICA Y ADQUISICION DE PUENTES DGC</t>
  </si>
  <si>
    <t>RED VIAL DE RUTAS CENTROAMERICANAS CON SERVICIOS DE MANTENIMIENTO COVIAL</t>
  </si>
  <si>
    <t>ESTADO DE CALAMIDAD PÚBLICA POR EPOCA LLUVIOSA, TEMPORADA CICLÓNICA Y SISTEMAS DE BAJA PRESIÓN</t>
  </si>
  <si>
    <t>CONSTRUCCIÓN, AMPLIACIÓN, REPOSICIÓN Y MEJORAMIENTO DE CARRETERAS Y PUENTES FSS</t>
  </si>
  <si>
    <t>REPOSICION DE PUENTE VEHICULAR</t>
  </si>
  <si>
    <t>INTERVENCIONES REALIZADAS PARA LA ATENCION DE LA EMERGENCIA POR EPOCA LLUVIOSA TEMPORADA CICLONICA Y SISTEMA DE BAJA PRESION DGC</t>
  </si>
  <si>
    <t>INTERVENCIONES REALIZADAS PARA LA ATENCION DE LA EMERGENCIA POR EPOCA LLUVIOSA TEMPORADA CICLONICA Y SISTEMA DE BAJA PRESION COVIAL</t>
  </si>
  <si>
    <t>INTERVENCIONES REALIZADAS PARA LA ATENCIÓN DE LA EMERGENCIA PROVOCADA POR LOS EFECTOS DE LA ÉPOCA LLUVIOSA Y EL CICLÓN TROPICAL JULIA UCEE</t>
  </si>
  <si>
    <t>REPOSICIÓN, AMPLIACIÓN, REPOSICIÓN Y MEJORAMIENTO DE CARRETERAS Y PUENTES DGC</t>
  </si>
  <si>
    <t>INTERVENCIONES REALIZADAS PARA LA ATENCION DE LA EMERGENCIA POR EPOCA DE LLUVIOSA TEMPORADA CICLONICA Y SISTEMA DE BAJA PRESION</t>
  </si>
  <si>
    <t>INTERVENCIONES REALIZADAS PARA LA ATENCIÓN DE LA EMERGENCIA PROVOCADA POR LOS EFECTOS DE LA ÉPOCA LLUVIOSA Y EL CICLÓN TROPICAL JULIA FSS</t>
  </si>
  <si>
    <t>INTERVENCIONES REALIZADAS PARA LA ATENCION DE LA EMERGENCIA POR EPOCA LLUVIOSA FSS</t>
  </si>
  <si>
    <t>INTERVENCIONES REALIZADAS PARA LA ATENCIÓN DE LA EMERGENCIA PROVOCADA POR LOS EFECTOS DE LA ÉPOCA LLUVIOSA Y EL CICLÓN TROPICAL JULIA DGC</t>
  </si>
  <si>
    <t>INTERVENCIONES REALIZADAS PARA LA ATENCIÓN DE LA EMERGENCIA PROVOCADA POR LOS EFECTOS DE LA ÉPOCA LLUVIOSA Y EL CICLÓN TROPICAL JULIA COVIAL</t>
  </si>
  <si>
    <t>REPOSICIÓN DE CARRETERAS POR EMERGENCIA DGC</t>
  </si>
  <si>
    <t>INTERVENCIONES REALIZADAS PARA LA ATENCION DE LA EMERGENCIA POR EPOCA LLUVIOSA TEMPORADA CICLONICA Y SISTEMA DE BAJA PRESION UCEE</t>
  </si>
  <si>
    <t>INTERVENCIONES REALIZADAS PARA LA ATENCION DE LA EMERGENCIA POR EPOCA LLUVIOSA TEMPORADA CICLONICA Y SISTEMA DE BAJA PRESION</t>
  </si>
  <si>
    <t>ATENCIÓN POR DESASTRES NATURALES Y CALAMIDADES PÚBLICAS</t>
  </si>
  <si>
    <t>ESTADO DE CALAMIDAD PÚBLICA POR DEPRESIÓN TROPICAL ETA</t>
  </si>
  <si>
    <t>INTERVENCIONES REALIZADAS PARA LA ATENCIÓN DE DAÑOS PROVOCADOS POR DEPRESIÓN TROPICAL ETA COVIAL</t>
  </si>
  <si>
    <t>INTERVENCIONES REALIZADAS PARA LA ATENCIÓN DE DAÑOS PROVOCADOS POR DEPRESIÓN TROPICAL ETA FSS</t>
  </si>
  <si>
    <t>INTERVENCIONES REALIZADAS PARA LA ATENCIÓN DE DAÑOS PROVOCADOS POR DEPRESIÓN TROPICAL ETA DGC</t>
  </si>
  <si>
    <t>INTERVENCIONES REALIZADAS PARA LA ATENCIÓN DE DAÑOS PROVOCADOS POR DEPRESIÓN TROPICAL ETA UCEE</t>
  </si>
  <si>
    <t>DS</t>
  </si>
  <si>
    <t>SI</t>
  </si>
  <si>
    <t>DGC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</si>
</sst>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Q&quot;* #,##0_-;\-&quot;Q&quot;* #,##0_-;_-&quot;Q&quot;* &quot;-&quot;_-;_-@_-"/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_);_(* \(#,##0\);_(* &quot;-&quot;??_);_(@_)"/>
    <numFmt numFmtId="165" formatCode="_(&quot;Q&quot;* #,##0.00_);_(&quot;Q&quot;* \(#,##0.00\);_(&quot;Q&quot;* &quot;-&quot;??_);_(@_)"/>
    <numFmt numFmtId="166" formatCode="_-[$Q-100A]* #,##0.00_ ;_-[$Q-100A]* \-#,##0.00\ ;_-[$Q-100A]* &quot;-&quot;??_ ;_-@_ "/>
    <numFmt numFmtId="167" formatCode="0.0000"/>
  </numFmts>
  <fonts count="28" x14ac:knownFonts="1">
    <font>
      <sz val="11"/>
      <color theme="1"/>
      <name val="Calibri"/>
      <family val="2"/>
      <scheme val="minor"/>
    </font>
    <font>
      <b/>
      <i/>
      <sz val="10"/>
      <name val="Book Antiqua"/>
      <family val="1"/>
    </font>
    <font>
      <b/>
      <sz val="10"/>
      <name val="Book Antiqua"/>
      <family val="1"/>
    </font>
    <font>
      <sz val="10"/>
      <name val="Book Antiqua"/>
      <family val="1"/>
    </font>
    <font>
      <sz val="11"/>
      <color indexed="8"/>
      <name val="Calibri"/>
      <family val="2"/>
    </font>
    <font>
      <b/>
      <sz val="10"/>
      <color indexed="8"/>
      <name val="Book Antiqua"/>
      <family val="1"/>
    </font>
    <font>
      <sz val="10"/>
      <color indexed="8"/>
      <name val="Book Antiqua"/>
      <family val="1"/>
    </font>
    <font>
      <b/>
      <sz val="9"/>
      <name val="Book Antiqua"/>
      <family val="1"/>
    </font>
    <font>
      <sz val="9"/>
      <color theme="1"/>
      <name val="Calibri"/>
      <family val="2"/>
      <scheme val="minor"/>
    </font>
    <font>
      <b/>
      <sz val="11"/>
      <color theme="1"/>
      <name val="Book Antiqua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color theme="1"/>
      <name val="Calibri"/>
      <family val="2"/>
      <scheme val="minor"/>
    </font>
    <font>
      <sz val="9"/>
      <name val="Book Antiqua"/>
      <family val="1"/>
    </font>
    <font>
      <sz val="9"/>
      <color theme="1"/>
      <name val="Book Antiqua"/>
      <family val="1"/>
    </font>
    <font>
      <i/>
      <sz val="10"/>
      <name val="Book Antiqua"/>
      <family val="1"/>
    </font>
    <font>
      <b/>
      <sz val="15"/>
      <color rgb="FF1F497D"/>
      <name val="Calibri"/>
      <family val="2"/>
      <charset val="1"/>
    </font>
    <font>
      <sz val="10"/>
      <color rgb="FF000000"/>
      <name val="Arial"/>
      <family val="2"/>
    </font>
    <font>
      <sz val="13"/>
      <color theme="1"/>
      <name val="Calibri"/>
      <family val="2"/>
      <scheme val="minor"/>
    </font>
    <font>
      <sz val="13"/>
      <color theme="1"/>
      <name val="Book Antiqua"/>
      <family val="1"/>
    </font>
    <font>
      <b/>
      <i/>
      <sz val="16"/>
      <color theme="1"/>
      <name val="Calibri"/>
      <family val="2"/>
      <scheme val="minor"/>
    </font>
    <font>
      <sz val="10"/>
      <color rgb="FFFF0000"/>
      <name val="Book Antiqua"/>
      <family val="1"/>
    </font>
    <font>
      <b/>
      <sz val="10"/>
      <color rgb="FFFF0000"/>
      <name val="Book Antiqua"/>
      <family val="1"/>
    </font>
    <font>
      <sz val="8"/>
      <color rgb="FF000000"/>
      <name val="Verdana"/>
      <family val="2"/>
    </font>
    <font>
      <b/>
      <sz val="8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4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" fillId="0" borderId="0"/>
    <xf numFmtId="165" fontId="12" fillId="0" borderId="0" applyFont="0" applyFill="0" applyBorder="0" applyAlignment="0" applyProtection="0"/>
    <xf numFmtId="0" fontId="10" fillId="0" borderId="0"/>
    <xf numFmtId="0" fontId="12" fillId="0" borderId="0"/>
    <xf numFmtId="0" fontId="19" fillId="0" borderId="18" applyProtection="0"/>
    <xf numFmtId="0" fontId="20" fillId="0" borderId="0"/>
    <xf numFmtId="0" fontId="12" fillId="0" borderId="0"/>
  </cellStyleXfs>
  <cellXfs count="35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0" xfId="0" applyFont="1"/>
    <xf numFmtId="4" fontId="2" fillId="0" borderId="8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/>
    </xf>
    <xf numFmtId="4" fontId="3" fillId="0" borderId="14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 textRotation="90"/>
    </xf>
    <xf numFmtId="0" fontId="7" fillId="2" borderId="14" xfId="1" applyFont="1" applyFill="1" applyBorder="1" applyAlignment="1">
      <alignment horizontal="center" vertical="center" textRotation="90"/>
    </xf>
    <xf numFmtId="0" fontId="7" fillId="2" borderId="15" xfId="1" applyFont="1" applyFill="1" applyBorder="1" applyAlignment="1">
      <alignment horizontal="center" vertical="center" wrapText="1"/>
    </xf>
    <xf numFmtId="164" fontId="7" fillId="2" borderId="14" xfId="1" applyNumberFormat="1" applyFont="1" applyFill="1" applyBorder="1" applyAlignment="1">
      <alignment horizontal="center" vertical="center"/>
    </xf>
    <xf numFmtId="164" fontId="7" fillId="2" borderId="14" xfId="1" applyNumberFormat="1" applyFont="1" applyFill="1" applyBorder="1" applyAlignment="1">
      <alignment horizontal="center" vertical="center" wrapText="1"/>
    </xf>
    <xf numFmtId="164" fontId="7" fillId="2" borderId="15" xfId="1" applyNumberFormat="1" applyFont="1" applyFill="1" applyBorder="1" applyAlignment="1">
      <alignment horizontal="center" vertical="center" wrapText="1"/>
    </xf>
    <xf numFmtId="164" fontId="7" fillId="2" borderId="16" xfId="1" applyNumberFormat="1" applyFont="1" applyFill="1" applyBorder="1" applyAlignment="1">
      <alignment horizontal="center" vertical="center" wrapText="1"/>
    </xf>
    <xf numFmtId="164" fontId="7" fillId="2" borderId="13" xfId="1" applyNumberFormat="1" applyFont="1" applyFill="1" applyBorder="1" applyAlignment="1">
      <alignment horizontal="center" vertical="center"/>
    </xf>
    <xf numFmtId="0" fontId="9" fillId="0" borderId="0" xfId="0" applyFont="1"/>
    <xf numFmtId="0" fontId="0" fillId="4" borderId="0" xfId="0" applyFill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44" fontId="2" fillId="0" borderId="9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44" fontId="3" fillId="0" borderId="9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4" fontId="7" fillId="2" borderId="13" xfId="1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 wrapText="1"/>
    </xf>
    <xf numFmtId="44" fontId="2" fillId="3" borderId="9" xfId="1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3" fillId="0" borderId="0" xfId="0" applyFont="1"/>
    <xf numFmtId="0" fontId="15" fillId="0" borderId="0" xfId="0" applyFont="1"/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4" fontId="0" fillId="0" borderId="9" xfId="0" applyNumberFormat="1" applyBorder="1"/>
    <xf numFmtId="4" fontId="14" fillId="0" borderId="9" xfId="0" applyNumberFormat="1" applyFont="1" applyBorder="1" applyAlignment="1">
      <alignment vertical="center"/>
    </xf>
    <xf numFmtId="4" fontId="13" fillId="0" borderId="9" xfId="0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4" fontId="14" fillId="0" borderId="11" xfId="0" applyNumberFormat="1" applyFont="1" applyBorder="1" applyAlignment="1">
      <alignment vertical="center"/>
    </xf>
    <xf numFmtId="4" fontId="13" fillId="0" borderId="11" xfId="0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7" fillId="2" borderId="14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44" fontId="2" fillId="0" borderId="9" xfId="0" applyNumberFormat="1" applyFont="1" applyBorder="1" applyAlignment="1">
      <alignment horizontal="center" vertical="center" wrapText="1"/>
    </xf>
    <xf numFmtId="3" fontId="13" fillId="0" borderId="9" xfId="0" applyNumberFormat="1" applyFont="1" applyBorder="1" applyAlignment="1">
      <alignment horizontal="center" vertical="center"/>
    </xf>
    <xf numFmtId="44" fontId="13" fillId="0" borderId="9" xfId="0" applyNumberFormat="1" applyFont="1" applyBorder="1" applyAlignment="1">
      <alignment horizontal="center" vertical="center"/>
    </xf>
    <xf numFmtId="3" fontId="14" fillId="0" borderId="9" xfId="0" applyNumberFormat="1" applyFont="1" applyBorder="1" applyAlignment="1">
      <alignment horizontal="center" vertical="center"/>
    </xf>
    <xf numFmtId="44" fontId="14" fillId="0" borderId="9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/>
    </xf>
    <xf numFmtId="44" fontId="3" fillId="0" borderId="9" xfId="0" applyNumberFormat="1" applyFont="1" applyBorder="1" applyAlignment="1">
      <alignment horizontal="center"/>
    </xf>
    <xf numFmtId="0" fontId="2" fillId="0" borderId="0" xfId="0" applyFont="1"/>
    <xf numFmtId="3" fontId="2" fillId="0" borderId="9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right" vertical="center"/>
    </xf>
    <xf numFmtId="3" fontId="2" fillId="0" borderId="9" xfId="3" applyNumberFormat="1" applyFont="1" applyBorder="1" applyAlignment="1">
      <alignment horizontal="center"/>
    </xf>
    <xf numFmtId="44" fontId="2" fillId="0" borderId="9" xfId="0" applyNumberFormat="1" applyFont="1" applyBorder="1" applyAlignment="1">
      <alignment horizontal="right"/>
    </xf>
    <xf numFmtId="44" fontId="2" fillId="0" borderId="9" xfId="0" applyNumberFormat="1" applyFont="1" applyBorder="1" applyAlignment="1">
      <alignment horizontal="center"/>
    </xf>
    <xf numFmtId="10" fontId="2" fillId="0" borderId="0" xfId="4" applyNumberFormat="1" applyFont="1"/>
    <xf numFmtId="44" fontId="2" fillId="0" borderId="9" xfId="0" applyNumberFormat="1" applyFont="1" applyBorder="1"/>
    <xf numFmtId="0" fontId="3" fillId="0" borderId="11" xfId="0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/>
    </xf>
    <xf numFmtId="10" fontId="3" fillId="0" borderId="0" xfId="4" applyNumberFormat="1" applyFont="1"/>
    <xf numFmtId="3" fontId="3" fillId="0" borderId="9" xfId="3" applyNumberFormat="1" applyFont="1" applyBorder="1" applyAlignment="1">
      <alignment horizontal="center"/>
    </xf>
    <xf numFmtId="44" fontId="3" fillId="0" borderId="9" xfId="0" applyNumberFormat="1" applyFont="1" applyBorder="1" applyAlignment="1">
      <alignment horizontal="right"/>
    </xf>
    <xf numFmtId="0" fontId="13" fillId="0" borderId="9" xfId="0" applyFont="1" applyBorder="1" applyAlignment="1">
      <alignment horizontal="center" wrapText="1"/>
    </xf>
    <xf numFmtId="44" fontId="13" fillId="0" borderId="9" xfId="0" applyNumberFormat="1" applyFont="1" applyBorder="1" applyAlignment="1">
      <alignment horizontal="right" wrapText="1"/>
    </xf>
    <xf numFmtId="0" fontId="14" fillId="0" borderId="0" xfId="0" applyFont="1"/>
    <xf numFmtId="0" fontId="16" fillId="0" borderId="0" xfId="0" applyFont="1"/>
    <xf numFmtId="0" fontId="2" fillId="5" borderId="9" xfId="0" applyFont="1" applyFill="1" applyBorder="1" applyAlignment="1">
      <alignment horizontal="center" vertical="center"/>
    </xf>
    <xf numFmtId="4" fontId="13" fillId="5" borderId="9" xfId="2" applyNumberFormat="1" applyFont="1" applyFill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/>
    </xf>
    <xf numFmtId="0" fontId="3" fillId="5" borderId="9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3" fontId="7" fillId="3" borderId="9" xfId="0" applyNumberFormat="1" applyFont="1" applyFill="1" applyBorder="1" applyAlignment="1">
      <alignment horizontal="center" vertical="center" wrapText="1"/>
    </xf>
    <xf numFmtId="44" fontId="7" fillId="3" borderId="9" xfId="3" applyFont="1" applyFill="1" applyBorder="1" applyAlignment="1">
      <alignment horizontal="center" vertical="center" wrapText="1"/>
    </xf>
    <xf numFmtId="44" fontId="3" fillId="0" borderId="9" xfId="0" applyNumberFormat="1" applyFont="1" applyBorder="1"/>
    <xf numFmtId="42" fontId="2" fillId="0" borderId="9" xfId="0" applyNumberFormat="1" applyFont="1" applyBorder="1" applyAlignment="1">
      <alignment horizontal="right"/>
    </xf>
    <xf numFmtId="0" fontId="2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 wrapText="1"/>
    </xf>
    <xf numFmtId="3" fontId="3" fillId="0" borderId="14" xfId="0" applyNumberFormat="1" applyFont="1" applyBorder="1" applyAlignment="1">
      <alignment horizontal="center" vertical="center"/>
    </xf>
    <xf numFmtId="3" fontId="3" fillId="0" borderId="9" xfId="5" applyNumberFormat="1" applyFont="1" applyBorder="1" applyAlignment="1">
      <alignment horizontal="center" vertical="center" wrapText="1"/>
    </xf>
    <xf numFmtId="166" fontId="3" fillId="0" borderId="9" xfId="6" applyNumberFormat="1" applyFont="1" applyFill="1" applyBorder="1" applyAlignment="1">
      <alignment vertical="center" wrapText="1"/>
    </xf>
    <xf numFmtId="166" fontId="3" fillId="0" borderId="9" xfId="6" applyNumberFormat="1" applyFont="1" applyFill="1" applyBorder="1" applyAlignment="1">
      <alignment horizontal="center" vertical="center" wrapText="1"/>
    </xf>
    <xf numFmtId="0" fontId="17" fillId="0" borderId="0" xfId="0" applyFont="1"/>
    <xf numFmtId="4" fontId="1" fillId="0" borderId="9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4" fontId="2" fillId="0" borderId="9" xfId="3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" fontId="3" fillId="0" borderId="9" xfId="3" applyNumberFormat="1" applyFont="1" applyBorder="1" applyAlignment="1">
      <alignment horizontal="center" vertical="center"/>
    </xf>
    <xf numFmtId="4" fontId="2" fillId="0" borderId="8" xfId="3" applyNumberFormat="1" applyFont="1" applyBorder="1" applyAlignment="1">
      <alignment horizontal="center" vertical="center"/>
    </xf>
    <xf numFmtId="4" fontId="3" fillId="0" borderId="13" xfId="3" applyNumberFormat="1" applyFont="1" applyBorder="1" applyAlignment="1">
      <alignment horizontal="center" vertical="center"/>
    </xf>
    <xf numFmtId="4" fontId="3" fillId="0" borderId="14" xfId="3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" fontId="14" fillId="0" borderId="9" xfId="0" applyNumberFormat="1" applyFont="1" applyBorder="1" applyAlignment="1">
      <alignment horizontal="center" vertical="center"/>
    </xf>
    <xf numFmtId="4" fontId="13" fillId="0" borderId="9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4" fontId="11" fillId="0" borderId="9" xfId="0" applyNumberFormat="1" applyFont="1" applyBorder="1"/>
    <xf numFmtId="4" fontId="3" fillId="0" borderId="0" xfId="0" applyNumberFormat="1" applyFont="1"/>
    <xf numFmtId="4" fontId="2" fillId="0" borderId="9" xfId="0" applyNumberFormat="1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3" fillId="0" borderId="9" xfId="0" applyNumberFormat="1" applyFont="1" applyBorder="1" applyAlignment="1">
      <alignment vertical="center"/>
    </xf>
    <xf numFmtId="4" fontId="3" fillId="0" borderId="11" xfId="0" applyNumberFormat="1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4" fontId="3" fillId="0" borderId="15" xfId="0" applyNumberFormat="1" applyFont="1" applyBorder="1" applyAlignment="1">
      <alignment vertical="center"/>
    </xf>
    <xf numFmtId="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0" fontId="3" fillId="0" borderId="0" xfId="4" applyNumberFormat="1" applyFont="1" applyAlignment="1">
      <alignment horizontal="center" vertical="center"/>
    </xf>
    <xf numFmtId="4" fontId="13" fillId="0" borderId="9" xfId="0" applyNumberFormat="1" applyFont="1" applyBorder="1" applyAlignment="1">
      <alignment horizontal="right" vertical="center"/>
    </xf>
    <xf numFmtId="4" fontId="2" fillId="0" borderId="9" xfId="9" applyNumberFormat="1" applyFont="1" applyBorder="1" applyAlignment="1">
      <alignment horizontal="right" vertical="center" wrapText="1"/>
    </xf>
    <xf numFmtId="4" fontId="2" fillId="0" borderId="9" xfId="9" applyNumberFormat="1" applyFont="1" applyBorder="1" applyAlignment="1">
      <alignment horizontal="right" vertical="center"/>
    </xf>
    <xf numFmtId="4" fontId="2" fillId="0" borderId="9" xfId="6" applyNumberFormat="1" applyFont="1" applyFill="1" applyBorder="1" applyAlignment="1">
      <alignment horizontal="right" vertical="center"/>
    </xf>
    <xf numFmtId="167" fontId="3" fillId="0" borderId="0" xfId="0" applyNumberFormat="1" applyFont="1" applyAlignment="1">
      <alignment horizontal="center" vertical="center"/>
    </xf>
    <xf numFmtId="4" fontId="18" fillId="0" borderId="9" xfId="0" applyNumberFormat="1" applyFont="1" applyBorder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2" fillId="0" borderId="8" xfId="11" applyFont="1" applyBorder="1" applyAlignment="1">
      <alignment horizontal="center" vertical="center"/>
    </xf>
    <xf numFmtId="0" fontId="2" fillId="0" borderId="9" xfId="11" applyFont="1" applyBorder="1" applyAlignment="1">
      <alignment horizontal="center" vertical="center"/>
    </xf>
    <xf numFmtId="4" fontId="2" fillId="0" borderId="9" xfId="11" applyNumberFormat="1" applyFont="1" applyBorder="1" applyAlignment="1">
      <alignment horizontal="center" vertical="center"/>
    </xf>
    <xf numFmtId="4" fontId="2" fillId="0" borderId="11" xfId="11" applyNumberFormat="1" applyFont="1" applyBorder="1" applyAlignment="1">
      <alignment horizontal="center" vertical="center"/>
    </xf>
    <xf numFmtId="0" fontId="3" fillId="0" borderId="9" xfId="11" applyFont="1" applyBorder="1" applyAlignment="1">
      <alignment horizontal="center" vertical="center"/>
    </xf>
    <xf numFmtId="4" fontId="3" fillId="0" borderId="9" xfId="11" applyNumberFormat="1" applyFont="1" applyBorder="1" applyAlignment="1">
      <alignment horizontal="center" vertical="center"/>
    </xf>
    <xf numFmtId="4" fontId="3" fillId="0" borderId="11" xfId="11" applyNumberFormat="1" applyFont="1" applyBorder="1" applyAlignment="1">
      <alignment horizontal="center" vertical="center"/>
    </xf>
    <xf numFmtId="0" fontId="3" fillId="0" borderId="9" xfId="11" applyFont="1" applyBorder="1" applyAlignment="1">
      <alignment horizontal="left" vertical="center" wrapText="1"/>
    </xf>
    <xf numFmtId="0" fontId="2" fillId="0" borderId="9" xfId="11" applyFont="1" applyBorder="1" applyAlignment="1">
      <alignment horizontal="left" vertical="center" wrapText="1"/>
    </xf>
    <xf numFmtId="4" fontId="3" fillId="0" borderId="9" xfId="3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" fillId="0" borderId="0" xfId="11" applyFont="1" applyAlignment="1">
      <alignment horizontal="left" vertical="center" wrapText="1"/>
    </xf>
    <xf numFmtId="0" fontId="23" fillId="0" borderId="0" xfId="0" applyFont="1"/>
    <xf numFmtId="3" fontId="3" fillId="0" borderId="9" xfId="0" applyNumberFormat="1" applyFont="1" applyBorder="1" applyAlignment="1">
      <alignment horizontal="center" vertical="center" wrapText="1"/>
    </xf>
    <xf numFmtId="44" fontId="3" fillId="0" borderId="9" xfId="0" applyNumberFormat="1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" fontId="2" fillId="0" borderId="17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3" fontId="3" fillId="0" borderId="0" xfId="3" applyNumberFormat="1" applyFont="1" applyBorder="1" applyAlignment="1">
      <alignment horizontal="center"/>
    </xf>
    <xf numFmtId="44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44" fontId="3" fillId="0" borderId="0" xfId="0" applyNumberFormat="1" applyFont="1" applyAlignment="1">
      <alignment horizontal="center"/>
    </xf>
    <xf numFmtId="0" fontId="14" fillId="5" borderId="9" xfId="0" applyFont="1" applyFill="1" applyBorder="1" applyAlignment="1">
      <alignment horizontal="left" vertical="center" wrapText="1"/>
    </xf>
    <xf numFmtId="4" fontId="3" fillId="5" borderId="8" xfId="0" applyNumberFormat="1" applyFont="1" applyFill="1" applyBorder="1" applyAlignment="1">
      <alignment horizontal="center" vertical="center"/>
    </xf>
    <xf numFmtId="4" fontId="3" fillId="5" borderId="9" xfId="0" applyNumberFormat="1" applyFont="1" applyFill="1" applyBorder="1" applyAlignment="1">
      <alignment horizontal="center" vertical="center"/>
    </xf>
    <xf numFmtId="4" fontId="3" fillId="5" borderId="11" xfId="0" applyNumberFormat="1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left" vertical="center" wrapText="1"/>
    </xf>
    <xf numFmtId="0" fontId="3" fillId="5" borderId="11" xfId="0" applyFont="1" applyFill="1" applyBorder="1" applyAlignment="1">
      <alignment horizontal="center" vertical="center" wrapText="1"/>
    </xf>
    <xf numFmtId="4" fontId="2" fillId="5" borderId="8" xfId="0" applyNumberFormat="1" applyFont="1" applyFill="1" applyBorder="1" applyAlignment="1">
      <alignment horizontal="center" vertical="center"/>
    </xf>
    <xf numFmtId="4" fontId="2" fillId="5" borderId="9" xfId="0" applyNumberFormat="1" applyFont="1" applyFill="1" applyBorder="1" applyAlignment="1">
      <alignment horizontal="center" vertical="center"/>
    </xf>
    <xf numFmtId="4" fontId="2" fillId="5" borderId="11" xfId="0" applyNumberFormat="1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center" vertical="center" wrapText="1"/>
    </xf>
    <xf numFmtId="4" fontId="1" fillId="5" borderId="3" xfId="0" applyNumberFormat="1" applyFont="1" applyFill="1" applyBorder="1" applyAlignment="1">
      <alignment horizontal="center" vertical="center"/>
    </xf>
    <xf numFmtId="4" fontId="1" fillId="5" borderId="4" xfId="0" applyNumberFormat="1" applyFont="1" applyFill="1" applyBorder="1" applyAlignment="1">
      <alignment horizontal="center" vertical="center"/>
    </xf>
    <xf numFmtId="4" fontId="3" fillId="5" borderId="4" xfId="0" applyNumberFormat="1" applyFont="1" applyFill="1" applyBorder="1" applyAlignment="1">
      <alignment horizontal="center" vertical="center"/>
    </xf>
    <xf numFmtId="4" fontId="3" fillId="5" borderId="5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4" fontId="2" fillId="5" borderId="3" xfId="0" applyNumberFormat="1" applyFont="1" applyFill="1" applyBorder="1" applyAlignment="1">
      <alignment horizontal="center" vertical="center"/>
    </xf>
    <xf numFmtId="4" fontId="2" fillId="5" borderId="4" xfId="0" applyNumberFormat="1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11" xfId="0" applyFont="1" applyFill="1" applyBorder="1" applyAlignment="1">
      <alignment horizontal="center" vertical="center"/>
    </xf>
    <xf numFmtId="4" fontId="1" fillId="5" borderId="9" xfId="0" applyNumberFormat="1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left" vertical="center"/>
    </xf>
    <xf numFmtId="0" fontId="14" fillId="5" borderId="9" xfId="0" applyFont="1" applyFill="1" applyBorder="1" applyAlignment="1">
      <alignment horizontal="left" vertical="center"/>
    </xf>
    <xf numFmtId="4" fontId="2" fillId="5" borderId="14" xfId="0" applyNumberFormat="1" applyFont="1" applyFill="1" applyBorder="1" applyAlignment="1">
      <alignment horizontal="center" vertical="center"/>
    </xf>
    <xf numFmtId="4" fontId="3" fillId="0" borderId="17" xfId="0" applyNumberFormat="1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4" fontId="3" fillId="0" borderId="16" xfId="0" applyNumberFormat="1" applyFont="1" applyBorder="1" applyAlignment="1">
      <alignment horizontal="center" vertical="center"/>
    </xf>
    <xf numFmtId="4" fontId="0" fillId="0" borderId="0" xfId="0" applyNumberFormat="1"/>
    <xf numFmtId="4" fontId="25" fillId="5" borderId="9" xfId="0" applyNumberFormat="1" applyFont="1" applyFill="1" applyBorder="1" applyAlignment="1">
      <alignment horizontal="center" vertical="center"/>
    </xf>
    <xf numFmtId="4" fontId="25" fillId="5" borderId="9" xfId="2" applyNumberFormat="1" applyFont="1" applyFill="1" applyBorder="1" applyAlignment="1">
      <alignment horizontal="center" vertical="center"/>
    </xf>
    <xf numFmtId="4" fontId="24" fillId="6" borderId="9" xfId="0" applyNumberFormat="1" applyFont="1" applyFill="1" applyBorder="1" applyAlignment="1">
      <alignment vertical="center"/>
    </xf>
    <xf numFmtId="4" fontId="25" fillId="0" borderId="9" xfId="0" applyNumberFormat="1" applyFont="1" applyBorder="1" applyAlignment="1">
      <alignment horizontal="center" vertical="center"/>
    </xf>
    <xf numFmtId="4" fontId="2" fillId="5" borderId="9" xfId="2" applyNumberFormat="1" applyFont="1" applyFill="1" applyBorder="1" applyAlignment="1">
      <alignment horizontal="center" vertical="center"/>
    </xf>
    <xf numFmtId="4" fontId="13" fillId="5" borderId="9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 wrapText="1"/>
    </xf>
    <xf numFmtId="44" fontId="3" fillId="0" borderId="0" xfId="0" applyNumberFormat="1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9" xfId="0" applyBorder="1"/>
    <xf numFmtId="4" fontId="3" fillId="0" borderId="19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4" fontId="13" fillId="0" borderId="9" xfId="2" applyNumberFormat="1" applyFont="1" applyFill="1" applyBorder="1" applyAlignment="1">
      <alignment horizontal="center" vertical="center"/>
    </xf>
    <xf numFmtId="10" fontId="2" fillId="0" borderId="0" xfId="4" applyNumberFormat="1" applyFont="1" applyFill="1"/>
    <xf numFmtId="3" fontId="2" fillId="0" borderId="9" xfId="3" applyNumberFormat="1" applyFont="1" applyFill="1" applyBorder="1" applyAlignment="1">
      <alignment horizontal="center"/>
    </xf>
    <xf numFmtId="10" fontId="3" fillId="0" borderId="0" xfId="4" applyNumberFormat="1" applyFont="1" applyFill="1"/>
    <xf numFmtId="3" fontId="3" fillId="0" borderId="9" xfId="3" applyNumberFormat="1" applyFont="1" applyFill="1" applyBorder="1" applyAlignment="1">
      <alignment horizontal="center"/>
    </xf>
    <xf numFmtId="4" fontId="2" fillId="0" borderId="9" xfId="2" applyNumberFormat="1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wrapText="1"/>
    </xf>
    <xf numFmtId="44" fontId="14" fillId="0" borderId="9" xfId="0" applyNumberFormat="1" applyFont="1" applyBorder="1" applyAlignment="1">
      <alignment horizontal="right" wrapText="1"/>
    </xf>
    <xf numFmtId="43" fontId="0" fillId="0" borderId="0" xfId="2" applyFont="1"/>
    <xf numFmtId="2" fontId="0" fillId="0" borderId="0" xfId="0" applyNumberFormat="1"/>
    <xf numFmtId="4" fontId="14" fillId="0" borderId="0" xfId="0" applyNumberFormat="1" applyFont="1"/>
    <xf numFmtId="0" fontId="0" fillId="0" borderId="9" xfId="0" applyBorder="1" applyAlignment="1">
      <alignment horizontal="center" vertical="center"/>
    </xf>
    <xf numFmtId="0" fontId="11" fillId="0" borderId="9" xfId="0" applyFont="1" applyBorder="1"/>
    <xf numFmtId="0" fontId="0" fillId="0" borderId="10" xfId="0" applyBorder="1"/>
    <xf numFmtId="4" fontId="3" fillId="0" borderId="10" xfId="0" applyNumberFormat="1" applyFont="1" applyBorder="1" applyAlignment="1">
      <alignment horizontal="center" vertical="center"/>
    </xf>
    <xf numFmtId="4" fontId="11" fillId="0" borderId="9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43" fontId="2" fillId="2" borderId="2" xfId="2" applyFont="1" applyFill="1" applyBorder="1" applyAlignment="1">
      <alignment horizontal="center" vertical="center" wrapText="1"/>
    </xf>
    <xf numFmtId="43" fontId="3" fillId="0" borderId="9" xfId="2" applyFont="1" applyBorder="1" applyAlignment="1">
      <alignment horizontal="center" vertical="center"/>
    </xf>
    <xf numFmtId="43" fontId="2" fillId="0" borderId="9" xfId="2" applyFont="1" applyBorder="1" applyAlignment="1">
      <alignment horizontal="center" vertical="center"/>
    </xf>
    <xf numFmtId="43" fontId="3" fillId="0" borderId="14" xfId="2" applyFont="1" applyBorder="1" applyAlignment="1">
      <alignment horizontal="center" vertical="center"/>
    </xf>
    <xf numFmtId="43" fontId="14" fillId="0" borderId="0" xfId="2" applyFont="1"/>
    <xf numFmtId="43" fontId="14" fillId="0" borderId="0" xfId="2" applyFont="1" applyAlignment="1">
      <alignment horizontal="center" vertical="center"/>
    </xf>
    <xf numFmtId="43" fontId="3" fillId="0" borderId="0" xfId="2" applyFont="1"/>
    <xf numFmtId="2" fontId="11" fillId="0" borderId="9" xfId="0" applyNumberFormat="1" applyFont="1" applyBorder="1"/>
    <xf numFmtId="2" fontId="0" fillId="0" borderId="9" xfId="0" applyNumberFormat="1" applyBorder="1"/>
    <xf numFmtId="43" fontId="0" fillId="0" borderId="9" xfId="2" applyFont="1" applyBorder="1" applyAlignment="1">
      <alignment horizontal="center" vertical="center"/>
    </xf>
    <xf numFmtId="2" fontId="11" fillId="0" borderId="9" xfId="0" applyNumberFormat="1" applyFont="1" applyBorder="1" applyAlignment="1">
      <alignment horizontal="center" vertical="center"/>
    </xf>
    <xf numFmtId="43" fontId="0" fillId="0" borderId="9" xfId="2" applyFont="1" applyBorder="1"/>
    <xf numFmtId="0" fontId="7" fillId="2" borderId="9" xfId="1" applyFont="1" applyFill="1" applyBorder="1" applyAlignment="1">
      <alignment horizontal="center" vertical="center" textRotation="90"/>
    </xf>
    <xf numFmtId="0" fontId="7" fillId="2" borderId="9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 wrapText="1"/>
    </xf>
    <xf numFmtId="164" fontId="7" fillId="2" borderId="9" xfId="1" applyNumberFormat="1" applyFont="1" applyFill="1" applyBorder="1" applyAlignment="1">
      <alignment horizontal="center" vertical="center"/>
    </xf>
    <xf numFmtId="164" fontId="7" fillId="2" borderId="9" xfId="1" applyNumberFormat="1" applyFont="1" applyFill="1" applyBorder="1" applyAlignment="1">
      <alignment horizontal="center" vertical="center" wrapText="1"/>
    </xf>
    <xf numFmtId="0" fontId="3" fillId="0" borderId="9" xfId="11" applyFont="1" applyBorder="1" applyAlignment="1">
      <alignment horizontal="center" vertical="center" wrapText="1"/>
    </xf>
    <xf numFmtId="0" fontId="18" fillId="0" borderId="9" xfId="11" applyFont="1" applyBorder="1" applyAlignment="1">
      <alignment horizontal="center" vertical="center" wrapText="1"/>
    </xf>
    <xf numFmtId="0" fontId="2" fillId="0" borderId="9" xfId="1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textRotation="90"/>
    </xf>
    <xf numFmtId="164" fontId="7" fillId="2" borderId="11" xfId="1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3" fillId="0" borderId="14" xfId="0" applyFont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13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4" fontId="14" fillId="0" borderId="14" xfId="0" applyNumberFormat="1" applyFont="1" applyBorder="1" applyAlignment="1">
      <alignment vertical="center"/>
    </xf>
    <xf numFmtId="0" fontId="13" fillId="5" borderId="9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4" fontId="25" fillId="0" borderId="12" xfId="0" applyNumberFormat="1" applyFont="1" applyBorder="1" applyAlignment="1">
      <alignment horizontal="center" vertical="center"/>
    </xf>
    <xf numFmtId="4" fontId="2" fillId="0" borderId="16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43" fontId="7" fillId="2" borderId="9" xfId="2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43" fontId="2" fillId="2" borderId="7" xfId="2" applyFont="1" applyFill="1" applyBorder="1" applyAlignment="1">
      <alignment horizontal="center" vertical="center" wrapText="1"/>
    </xf>
    <xf numFmtId="43" fontId="7" fillId="2" borderId="11" xfId="2" applyFont="1" applyFill="1" applyBorder="1" applyAlignment="1">
      <alignment horizontal="center" vertical="center" wrapText="1"/>
    </xf>
    <xf numFmtId="43" fontId="2" fillId="0" borderId="11" xfId="2" applyFont="1" applyBorder="1" applyAlignment="1">
      <alignment horizontal="center" vertical="center"/>
    </xf>
    <xf numFmtId="43" fontId="3" fillId="0" borderId="11" xfId="2" applyFont="1" applyBorder="1" applyAlignment="1">
      <alignment horizontal="center" vertical="center"/>
    </xf>
    <xf numFmtId="43" fontId="3" fillId="0" borderId="15" xfId="2" applyFont="1" applyBorder="1" applyAlignment="1">
      <alignment horizontal="center" vertical="center"/>
    </xf>
    <xf numFmtId="43" fontId="7" fillId="2" borderId="9" xfId="2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 textRotation="90" wrapText="1"/>
    </xf>
    <xf numFmtId="0" fontId="7" fillId="2" borderId="8" xfId="1" applyFont="1" applyFill="1" applyBorder="1" applyAlignment="1">
      <alignment horizontal="center" vertical="center" textRotation="90" wrapText="1"/>
    </xf>
    <xf numFmtId="4" fontId="2" fillId="0" borderId="20" xfId="0" applyNumberFormat="1" applyFont="1" applyBorder="1" applyAlignment="1">
      <alignment horizontal="center" vertical="center"/>
    </xf>
    <xf numFmtId="0" fontId="0" fillId="0" borderId="12" xfId="0" applyBorder="1"/>
    <xf numFmtId="0" fontId="0" fillId="0" borderId="8" xfId="0" applyBorder="1"/>
    <xf numFmtId="43" fontId="0" fillId="0" borderId="11" xfId="2" applyFont="1" applyBorder="1" applyAlignment="1">
      <alignment vertical="center"/>
    </xf>
    <xf numFmtId="4" fontId="2" fillId="5" borderId="17" xfId="0" applyNumberFormat="1" applyFont="1" applyFill="1" applyBorder="1" applyAlignment="1">
      <alignment horizontal="center" vertical="center"/>
    </xf>
    <xf numFmtId="4" fontId="2" fillId="5" borderId="12" xfId="0" applyNumberFormat="1" applyFont="1" applyFill="1" applyBorder="1" applyAlignment="1">
      <alignment horizontal="center" vertical="center"/>
    </xf>
    <xf numFmtId="4" fontId="3" fillId="5" borderId="12" xfId="0" applyNumberFormat="1" applyFont="1" applyFill="1" applyBorder="1" applyAlignment="1">
      <alignment horizontal="center" vertical="center"/>
    </xf>
    <xf numFmtId="4" fontId="2" fillId="5" borderId="16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26" fillId="0" borderId="0" xfId="0" applyFont="1"/>
    <xf numFmtId="0" fontId="27" fillId="0" borderId="0" xfId="0" applyFont="1"/>
    <xf numFmtId="0" fontId="11" fillId="0" borderId="0" xfId="0" applyFont="1"/>
    <xf numFmtId="0" fontId="2" fillId="0" borderId="9" xfId="0" applyFont="1" applyBorder="1" applyAlignment="1">
      <alignment vertical="center" wrapText="1"/>
    </xf>
    <xf numFmtId="0" fontId="5" fillId="0" borderId="9" xfId="0" applyFont="1" applyBorder="1"/>
    <xf numFmtId="2" fontId="5" fillId="0" borderId="9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 vertical="center"/>
    </xf>
    <xf numFmtId="43" fontId="0" fillId="0" borderId="0" xfId="2" applyFont="1" applyFill="1"/>
    <xf numFmtId="0" fontId="3" fillId="0" borderId="9" xfId="0" applyFont="1" applyBorder="1" applyAlignment="1">
      <alignment vertical="center" wrapText="1"/>
    </xf>
    <xf numFmtId="0" fontId="6" fillId="0" borderId="9" xfId="0" applyFont="1" applyBorder="1" applyAlignment="1">
      <alignment horizontal="center"/>
    </xf>
    <xf numFmtId="2" fontId="6" fillId="0" borderId="9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4" fontId="24" fillId="0" borderId="9" xfId="0" applyNumberFormat="1" applyFont="1" applyBorder="1" applyAlignment="1">
      <alignment vertical="center"/>
    </xf>
    <xf numFmtId="4" fontId="13" fillId="0" borderId="14" xfId="0" applyNumberFormat="1" applyFont="1" applyBorder="1" applyAlignment="1">
      <alignment vertical="center"/>
    </xf>
    <xf numFmtId="4" fontId="3" fillId="7" borderId="12" xfId="0" applyNumberFormat="1" applyFont="1" applyFill="1" applyBorder="1" applyAlignment="1">
      <alignment horizontal="center" vertical="center"/>
    </xf>
    <xf numFmtId="4" fontId="3" fillId="7" borderId="9" xfId="0" applyNumberFormat="1" applyFont="1" applyFill="1" applyBorder="1" applyAlignment="1">
      <alignment horizontal="center" vertical="center"/>
    </xf>
    <xf numFmtId="4" fontId="3" fillId="7" borderId="11" xfId="0" applyNumberFormat="1" applyFont="1" applyFill="1" applyBorder="1" applyAlignment="1">
      <alignment horizontal="center" vertical="center"/>
    </xf>
    <xf numFmtId="4" fontId="2" fillId="0" borderId="21" xfId="0" applyNumberFormat="1" applyFont="1" applyBorder="1" applyAlignment="1">
      <alignment horizontal="center" vertical="center"/>
    </xf>
    <xf numFmtId="4" fontId="2" fillId="0" borderId="22" xfId="0" applyNumberFormat="1" applyFont="1" applyBorder="1" applyAlignment="1">
      <alignment horizontal="center" vertical="center"/>
    </xf>
    <xf numFmtId="4" fontId="13" fillId="5" borderId="22" xfId="2" applyNumberFormat="1" applyFont="1" applyFill="1" applyBorder="1" applyAlignment="1">
      <alignment horizontal="center" vertical="center"/>
    </xf>
    <xf numFmtId="4" fontId="13" fillId="0" borderId="22" xfId="2" applyNumberFormat="1" applyFont="1" applyFill="1" applyBorder="1" applyAlignment="1">
      <alignment horizontal="center" vertical="center"/>
    </xf>
    <xf numFmtId="4" fontId="14" fillId="0" borderId="22" xfId="0" applyNumberFormat="1" applyFont="1" applyBorder="1" applyAlignment="1">
      <alignment vertical="center"/>
    </xf>
    <xf numFmtId="164" fontId="7" fillId="2" borderId="19" xfId="1" applyNumberFormat="1" applyFont="1" applyFill="1" applyBorder="1" applyAlignment="1">
      <alignment horizontal="center" vertical="center"/>
    </xf>
    <xf numFmtId="164" fontId="7" fillId="2" borderId="19" xfId="1" applyNumberFormat="1" applyFont="1" applyFill="1" applyBorder="1" applyAlignment="1">
      <alignment horizontal="center" vertical="center" wrapText="1"/>
    </xf>
    <xf numFmtId="164" fontId="7" fillId="2" borderId="23" xfId="1" applyNumberFormat="1" applyFont="1" applyFill="1" applyBorder="1" applyAlignment="1">
      <alignment horizontal="center" vertical="center" wrapText="1"/>
    </xf>
    <xf numFmtId="164" fontId="7" fillId="2" borderId="20" xfId="1" applyNumberFormat="1" applyFont="1" applyFill="1" applyBorder="1" applyAlignment="1">
      <alignment horizontal="center" vertical="center" wrapText="1"/>
    </xf>
    <xf numFmtId="0" fontId="14" fillId="0" borderId="9" xfId="0" applyFont="1" applyBorder="1"/>
    <xf numFmtId="4" fontId="14" fillId="0" borderId="9" xfId="0" applyNumberFormat="1" applyFont="1" applyBorder="1"/>
    <xf numFmtId="0" fontId="2" fillId="3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" xfId="11" applyFont="1" applyFill="1" applyBorder="1" applyAlignment="1">
      <alignment horizontal="center" vertical="center"/>
    </xf>
    <xf numFmtId="0" fontId="2" fillId="2" borderId="2" xfId="11" applyFont="1" applyFill="1" applyBorder="1" applyAlignment="1">
      <alignment horizontal="center" vertical="center"/>
    </xf>
    <xf numFmtId="0" fontId="2" fillId="2" borderId="2" xfId="11" applyFont="1" applyFill="1" applyBorder="1" applyAlignment="1">
      <alignment horizontal="center" vertical="center" wrapText="1"/>
    </xf>
    <xf numFmtId="0" fontId="2" fillId="2" borderId="7" xfId="11" applyFont="1" applyFill="1" applyBorder="1" applyAlignment="1">
      <alignment horizontal="center" vertical="center" wrapText="1"/>
    </xf>
    <xf numFmtId="43" fontId="14" fillId="0" borderId="9" xfId="2" applyFont="1" applyBorder="1" applyAlignment="1">
      <alignment vertical="center"/>
    </xf>
    <xf numFmtId="43" fontId="14" fillId="0" borderId="14" xfId="2" applyFont="1" applyBorder="1" applyAlignment="1">
      <alignment vertical="center"/>
    </xf>
    <xf numFmtId="43" fontId="11" fillId="0" borderId="9" xfId="2" applyFont="1" applyBorder="1"/>
    <xf numFmtId="43" fontId="13" fillId="0" borderId="9" xfId="2" applyFont="1" applyBorder="1" applyAlignment="1">
      <alignment vertical="center"/>
    </xf>
    <xf numFmtId="4" fontId="3" fillId="0" borderId="24" xfId="0" applyNumberFormat="1" applyFont="1" applyBorder="1" applyAlignment="1">
      <alignment horizontal="center" vertical="center"/>
    </xf>
    <xf numFmtId="43" fontId="0" fillId="0" borderId="11" xfId="2" applyFont="1" applyBorder="1"/>
    <xf numFmtId="43" fontId="14" fillId="0" borderId="11" xfId="2" applyFont="1" applyBorder="1" applyAlignment="1">
      <alignment vertical="center"/>
    </xf>
    <xf numFmtId="43" fontId="14" fillId="0" borderId="11" xfId="2" applyFont="1" applyBorder="1" applyAlignment="1">
      <alignment horizontal="center" vertical="center"/>
    </xf>
    <xf numFmtId="43" fontId="11" fillId="0" borderId="11" xfId="2" applyFont="1" applyBorder="1" applyAlignment="1">
      <alignment horizontal="center" vertical="center"/>
    </xf>
    <xf numFmtId="43" fontId="13" fillId="5" borderId="15" xfId="2" applyFont="1" applyFill="1" applyBorder="1" applyAlignment="1">
      <alignment horizontal="center" vertical="center"/>
    </xf>
    <xf numFmtId="43" fontId="7" fillId="2" borderId="14" xfId="2" applyFont="1" applyFill="1" applyBorder="1" applyAlignment="1">
      <alignment horizontal="center" vertical="center" wrapText="1"/>
    </xf>
    <xf numFmtId="43" fontId="2" fillId="0" borderId="4" xfId="2" applyFont="1" applyBorder="1" applyAlignment="1">
      <alignment horizontal="center" vertical="center"/>
    </xf>
    <xf numFmtId="43" fontId="11" fillId="0" borderId="9" xfId="2" applyFont="1" applyBorder="1" applyAlignment="1">
      <alignment horizontal="center" vertical="center"/>
    </xf>
    <xf numFmtId="4" fontId="2" fillId="5" borderId="15" xfId="0" applyNumberFormat="1" applyFont="1" applyFill="1" applyBorder="1" applyAlignment="1">
      <alignment horizontal="center" vertical="center"/>
    </xf>
    <xf numFmtId="4" fontId="0" fillId="0" borderId="0" xfId="0" applyNumberFormat="1" applyBorder="1"/>
  </cellXfs>
  <cellStyles count="12">
    <cellStyle name="Excel Built-in Explanatory Text" xfId="9" xr:uid="{00000000-0005-0000-0000-000000000000}"/>
    <cellStyle name="Millares" xfId="2" builtinId="3"/>
    <cellStyle name="Moneda" xfId="3" builtinId="4"/>
    <cellStyle name="Moneda 2" xfId="6" xr:uid="{00000000-0005-0000-0000-000003000000}"/>
    <cellStyle name="Normal" xfId="0" builtinId="0"/>
    <cellStyle name="Normal 11" xfId="8" xr:uid="{00000000-0005-0000-0000-000005000000}"/>
    <cellStyle name="Normal 12 2 2 2 2" xfId="7" xr:uid="{00000000-0005-0000-0000-000006000000}"/>
    <cellStyle name="Normal 2" xfId="10" xr:uid="{00000000-0005-0000-0000-000007000000}"/>
    <cellStyle name="Normal 3" xfId="11" xr:uid="{00000000-0005-0000-0000-000008000000}"/>
    <cellStyle name="Normal 4" xfId="5" xr:uid="{00000000-0005-0000-0000-000009000000}"/>
    <cellStyle name="Normal_Hoja1" xfId="1" xr:uid="{00000000-0005-0000-0000-00000A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E78DE-3F6F-4BDA-86C5-A4CFA2B15528}">
  <sheetPr>
    <tabColor theme="9" tint="0.39997558519241921"/>
  </sheetPr>
  <dimension ref="A1:BB34"/>
  <sheetViews>
    <sheetView tabSelected="1" zoomScale="85" zoomScaleNormal="85" workbookViewId="0">
      <pane xSplit="11" ySplit="6" topLeftCell="L25" activePane="bottomRight" state="frozen"/>
      <selection pane="topRight" activeCell="L1" sqref="L1"/>
      <selection pane="bottomLeft" activeCell="A7" sqref="A7"/>
      <selection pane="bottomRight" activeCell="I32" sqref="I32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hidden="1" customWidth="1"/>
    <col min="12" max="13" width="10.7109375" customWidth="1"/>
    <col min="14" max="14" width="13.7109375" customWidth="1"/>
    <col min="15" max="15" width="12.42578125" bestFit="1" customWidth="1"/>
    <col min="16" max="24" width="13.7109375" hidden="1" customWidth="1"/>
    <col min="25" max="25" width="12" hidden="1" customWidth="1"/>
    <col min="26" max="27" width="13.7109375" hidden="1" customWidth="1"/>
    <col min="28" max="32" width="13.7109375" customWidth="1"/>
    <col min="33" max="33" width="12.42578125" bestFit="1" customWidth="1"/>
    <col min="34" max="42" width="13.7109375" hidden="1" customWidth="1"/>
    <col min="43" max="43" width="12.7109375" hidden="1" customWidth="1"/>
    <col min="44" max="45" width="13.7109375" hidden="1" customWidth="1"/>
    <col min="46" max="46" width="13.7109375" customWidth="1"/>
    <col min="47" max="47" width="10.7109375" customWidth="1"/>
    <col min="48" max="48" width="15.7109375" customWidth="1"/>
    <col min="49" max="49" width="10.7109375" customWidth="1"/>
    <col min="50" max="50" width="15.7109375" customWidth="1"/>
    <col min="51" max="51" width="10.7109375" customWidth="1"/>
    <col min="52" max="52" width="15.7109375" customWidth="1"/>
    <col min="53" max="53" width="10.7109375" customWidth="1"/>
    <col min="54" max="54" width="15.7109375" customWidth="1"/>
    <col min="55" max="58" width="11.42578125" customWidth="1"/>
  </cols>
  <sheetData>
    <row r="1" spans="1:54" ht="15" customHeight="1" x14ac:dyDescent="0.25">
      <c r="A1" s="32" t="s">
        <v>49</v>
      </c>
    </row>
    <row r="2" spans="1:54" ht="15" customHeight="1" x14ac:dyDescent="0.25">
      <c r="A2" s="32" t="s">
        <v>50</v>
      </c>
    </row>
    <row r="3" spans="1:54" ht="15" customHeight="1" x14ac:dyDescent="0.25">
      <c r="A3" s="32" t="s">
        <v>265</v>
      </c>
    </row>
    <row r="4" spans="1:54" ht="15" customHeight="1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54" ht="15" customHeight="1" x14ac:dyDescent="0.25">
      <c r="A5" s="328" t="s">
        <v>0</v>
      </c>
      <c r="B5" s="329"/>
      <c r="C5" s="329"/>
      <c r="D5" s="329"/>
      <c r="E5" s="329"/>
      <c r="F5" s="329"/>
      <c r="G5" s="329"/>
      <c r="H5" s="329"/>
      <c r="I5" s="329"/>
      <c r="J5" s="330" t="s">
        <v>1</v>
      </c>
      <c r="K5" s="330"/>
      <c r="L5" s="330"/>
      <c r="M5" s="330"/>
      <c r="N5" s="330"/>
      <c r="O5" s="330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30" t="s">
        <v>2</v>
      </c>
      <c r="AC5" s="330"/>
      <c r="AD5" s="330"/>
      <c r="AE5" s="330"/>
      <c r="AF5" s="330"/>
      <c r="AG5" s="331"/>
      <c r="AH5" s="162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40"/>
      <c r="AU5" s="327" t="s">
        <v>51</v>
      </c>
      <c r="AV5" s="327"/>
      <c r="AW5" s="327" t="s">
        <v>52</v>
      </c>
      <c r="AX5" s="327"/>
      <c r="AY5" s="327" t="s">
        <v>53</v>
      </c>
      <c r="AZ5" s="327"/>
      <c r="BA5" s="327" t="s">
        <v>55</v>
      </c>
      <c r="BB5" s="327"/>
    </row>
    <row r="6" spans="1:54" s="7" customFormat="1" ht="36.75" thickBot="1" x14ac:dyDescent="0.3">
      <c r="A6" s="255" t="s">
        <v>3</v>
      </c>
      <c r="B6" s="246" t="s">
        <v>4</v>
      </c>
      <c r="C6" s="246" t="s">
        <v>5</v>
      </c>
      <c r="D6" s="246" t="s">
        <v>6</v>
      </c>
      <c r="E6" s="246" t="s">
        <v>7</v>
      </c>
      <c r="F6" s="246" t="s">
        <v>8</v>
      </c>
      <c r="G6" s="246" t="s">
        <v>9</v>
      </c>
      <c r="H6" s="248" t="s">
        <v>10</v>
      </c>
      <c r="I6" s="248" t="s">
        <v>11</v>
      </c>
      <c r="J6" s="248" t="s">
        <v>12</v>
      </c>
      <c r="K6" s="248" t="s">
        <v>65</v>
      </c>
      <c r="L6" s="249" t="s">
        <v>13</v>
      </c>
      <c r="M6" s="249" t="s">
        <v>14</v>
      </c>
      <c r="N6" s="250" t="s">
        <v>15</v>
      </c>
      <c r="O6" s="250" t="s">
        <v>16</v>
      </c>
      <c r="P6" s="250" t="s">
        <v>17</v>
      </c>
      <c r="Q6" s="250" t="s">
        <v>18</v>
      </c>
      <c r="R6" s="250" t="s">
        <v>19</v>
      </c>
      <c r="S6" s="250" t="s">
        <v>20</v>
      </c>
      <c r="T6" s="250" t="s">
        <v>21</v>
      </c>
      <c r="U6" s="250" t="s">
        <v>22</v>
      </c>
      <c r="V6" s="250" t="s">
        <v>23</v>
      </c>
      <c r="W6" s="250" t="s">
        <v>24</v>
      </c>
      <c r="X6" s="250" t="s">
        <v>25</v>
      </c>
      <c r="Y6" s="250" t="s">
        <v>26</v>
      </c>
      <c r="Z6" s="250" t="s">
        <v>27</v>
      </c>
      <c r="AA6" s="250" t="s">
        <v>28</v>
      </c>
      <c r="AB6" s="249" t="s">
        <v>12</v>
      </c>
      <c r="AC6" s="249" t="s">
        <v>65</v>
      </c>
      <c r="AD6" s="249" t="s">
        <v>13</v>
      </c>
      <c r="AE6" s="249" t="s">
        <v>14</v>
      </c>
      <c r="AF6" s="250" t="s">
        <v>15</v>
      </c>
      <c r="AG6" s="256" t="s">
        <v>16</v>
      </c>
      <c r="AH6" s="30" t="s">
        <v>17</v>
      </c>
      <c r="AI6" s="28" t="s">
        <v>18</v>
      </c>
      <c r="AJ6" s="28" t="s">
        <v>19</v>
      </c>
      <c r="AK6" s="28" t="s">
        <v>20</v>
      </c>
      <c r="AL6" s="28" t="s">
        <v>21</v>
      </c>
      <c r="AM6" s="28" t="s">
        <v>22</v>
      </c>
      <c r="AN6" s="28" t="s">
        <v>23</v>
      </c>
      <c r="AO6" s="28" t="s">
        <v>24</v>
      </c>
      <c r="AP6" s="28" t="s">
        <v>25</v>
      </c>
      <c r="AQ6" s="28" t="s">
        <v>26</v>
      </c>
      <c r="AR6" s="28" t="s">
        <v>27</v>
      </c>
      <c r="AS6" s="29" t="s">
        <v>28</v>
      </c>
      <c r="AT6"/>
      <c r="AU6" s="45" t="s">
        <v>54</v>
      </c>
      <c r="AV6" s="46" t="s">
        <v>2</v>
      </c>
      <c r="AW6" s="45" t="s">
        <v>54</v>
      </c>
      <c r="AX6" s="46" t="s">
        <v>2</v>
      </c>
      <c r="AY6" s="45" t="s">
        <v>54</v>
      </c>
      <c r="AZ6" s="46" t="s">
        <v>2</v>
      </c>
      <c r="BA6" s="45" t="s">
        <v>54</v>
      </c>
      <c r="BB6" s="46" t="s">
        <v>2</v>
      </c>
    </row>
    <row r="7" spans="1:54" ht="15.75" x14ac:dyDescent="0.3">
      <c r="A7" s="4"/>
      <c r="B7" s="5">
        <v>1</v>
      </c>
      <c r="C7" s="5"/>
      <c r="D7" s="5"/>
      <c r="E7" s="5"/>
      <c r="F7" s="5"/>
      <c r="G7" s="5"/>
      <c r="H7" s="293" t="s">
        <v>29</v>
      </c>
      <c r="I7" s="294"/>
      <c r="J7" s="295"/>
      <c r="K7" s="295"/>
      <c r="L7" s="296"/>
      <c r="M7" s="296"/>
      <c r="N7" s="296"/>
      <c r="O7" s="296"/>
      <c r="P7" s="296"/>
      <c r="Q7" s="296"/>
      <c r="R7" s="296"/>
      <c r="S7" s="296"/>
      <c r="T7" s="296"/>
      <c r="U7" s="296"/>
      <c r="V7" s="296"/>
      <c r="W7" s="296"/>
      <c r="X7" s="296"/>
      <c r="Y7" s="296"/>
      <c r="Z7" s="296"/>
      <c r="AA7" s="296"/>
      <c r="AB7" s="9"/>
      <c r="AC7" s="9"/>
      <c r="AD7" s="9"/>
      <c r="AE7" s="9"/>
      <c r="AF7" s="9"/>
      <c r="AG7" s="10"/>
      <c r="AH7" s="199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3"/>
      <c r="AU7" s="34"/>
      <c r="AV7" s="35"/>
      <c r="AW7" s="34"/>
      <c r="AX7" s="35"/>
      <c r="AY7" s="34"/>
      <c r="AZ7" s="35"/>
      <c r="BA7" s="34"/>
      <c r="BB7" s="35"/>
    </row>
    <row r="8" spans="1:54" ht="15.75" x14ac:dyDescent="0.3">
      <c r="A8" s="4"/>
      <c r="B8" s="5"/>
      <c r="C8" s="5">
        <v>0</v>
      </c>
      <c r="D8" s="5"/>
      <c r="E8" s="5"/>
      <c r="F8" s="5"/>
      <c r="G8" s="5"/>
      <c r="H8" s="293" t="s">
        <v>30</v>
      </c>
      <c r="I8" s="297"/>
      <c r="J8" s="295"/>
      <c r="K8" s="295"/>
      <c r="L8" s="298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296"/>
      <c r="Z8" s="296"/>
      <c r="AA8" s="296"/>
      <c r="AB8" s="9"/>
      <c r="AC8" s="9"/>
      <c r="AD8" s="9"/>
      <c r="AE8" s="9"/>
      <c r="AF8" s="9"/>
      <c r="AG8" s="10"/>
      <c r="AH8" s="200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6"/>
      <c r="AU8" s="34"/>
      <c r="AV8" s="35"/>
      <c r="AW8" s="34"/>
      <c r="AX8" s="35"/>
      <c r="AY8" s="34"/>
      <c r="AZ8" s="35"/>
      <c r="BA8" s="34"/>
      <c r="BB8" s="35"/>
    </row>
    <row r="9" spans="1:54" ht="15.75" x14ac:dyDescent="0.3">
      <c r="A9" s="4"/>
      <c r="B9" s="5"/>
      <c r="C9" s="5"/>
      <c r="D9" s="5">
        <v>0</v>
      </c>
      <c r="E9" s="5"/>
      <c r="F9" s="5"/>
      <c r="G9" s="5"/>
      <c r="H9" s="293" t="s">
        <v>31</v>
      </c>
      <c r="I9" s="297"/>
      <c r="J9" s="295"/>
      <c r="K9" s="295"/>
      <c r="L9" s="298"/>
      <c r="M9" s="296"/>
      <c r="N9" s="296"/>
      <c r="O9" s="296"/>
      <c r="P9" s="296"/>
      <c r="Q9" s="296"/>
      <c r="R9" s="296"/>
      <c r="S9" s="296"/>
      <c r="T9" s="296"/>
      <c r="U9" s="296"/>
      <c r="V9" s="296"/>
      <c r="W9" s="296"/>
      <c r="X9" s="296"/>
      <c r="Y9" s="296"/>
      <c r="Z9" s="296"/>
      <c r="AA9" s="296"/>
      <c r="AB9" s="9"/>
      <c r="AC9" s="9"/>
      <c r="AD9" s="9"/>
      <c r="AE9" s="9"/>
      <c r="AF9" s="9"/>
      <c r="AG9" s="10"/>
      <c r="AH9" s="200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6"/>
      <c r="AU9" s="34"/>
      <c r="AV9" s="35"/>
      <c r="AW9" s="34"/>
      <c r="AX9" s="35"/>
      <c r="AY9" s="34"/>
      <c r="AZ9" s="35"/>
      <c r="BA9" s="34"/>
      <c r="BB9" s="35"/>
    </row>
    <row r="10" spans="1:54" ht="15.75" x14ac:dyDescent="0.3">
      <c r="A10" s="4"/>
      <c r="B10" s="5"/>
      <c r="C10" s="5"/>
      <c r="D10" s="5"/>
      <c r="E10" s="5">
        <v>1</v>
      </c>
      <c r="F10" s="5">
        <v>0</v>
      </c>
      <c r="G10" s="5"/>
      <c r="H10" s="293" t="s">
        <v>32</v>
      </c>
      <c r="I10" s="297"/>
      <c r="J10" s="295"/>
      <c r="K10" s="295"/>
      <c r="L10" s="296"/>
      <c r="M10" s="296"/>
      <c r="N10" s="296"/>
      <c r="O10" s="296"/>
      <c r="P10" s="296"/>
      <c r="Q10" s="296"/>
      <c r="R10" s="296"/>
      <c r="S10" s="296"/>
      <c r="T10" s="296"/>
      <c r="U10" s="296"/>
      <c r="V10" s="296"/>
      <c r="W10" s="296"/>
      <c r="X10" s="296"/>
      <c r="Y10" s="296"/>
      <c r="Z10" s="296"/>
      <c r="AA10" s="296"/>
      <c r="AB10" s="9">
        <v>37089825</v>
      </c>
      <c r="AC10" s="9">
        <v>25219837</v>
      </c>
      <c r="AD10" s="9">
        <v>25219837</v>
      </c>
      <c r="AE10" s="9">
        <v>28027309</v>
      </c>
      <c r="AF10" s="9">
        <v>24218165.359999999</v>
      </c>
      <c r="AG10" s="16">
        <f>+AR10</f>
        <v>2166066.81</v>
      </c>
      <c r="AH10" s="200">
        <v>0</v>
      </c>
      <c r="AI10" s="11">
        <v>1157.5</v>
      </c>
      <c r="AJ10" s="11">
        <v>26443.05</v>
      </c>
      <c r="AK10" s="11">
        <v>74656.5</v>
      </c>
      <c r="AL10" s="11">
        <v>15739.5</v>
      </c>
      <c r="AM10" s="11">
        <v>134684.75</v>
      </c>
      <c r="AN10" s="11">
        <v>10715</v>
      </c>
      <c r="AO10" s="11">
        <v>12720.4</v>
      </c>
      <c r="AP10" s="11">
        <v>2123404.9700000002</v>
      </c>
      <c r="AQ10" s="299">
        <v>2316430.56</v>
      </c>
      <c r="AR10" s="11">
        <v>2166066.81</v>
      </c>
      <c r="AS10" s="16">
        <v>0</v>
      </c>
      <c r="AU10" s="34"/>
      <c r="AV10" s="35"/>
      <c r="AW10" s="34"/>
      <c r="AX10" s="35"/>
      <c r="AY10" s="34"/>
      <c r="AZ10" s="35"/>
      <c r="BA10" s="34"/>
      <c r="BB10" s="35"/>
    </row>
    <row r="11" spans="1:54" ht="15.75" x14ac:dyDescent="0.3">
      <c r="A11" s="4">
        <v>4</v>
      </c>
      <c r="B11" s="5"/>
      <c r="C11" s="5"/>
      <c r="D11" s="5"/>
      <c r="E11" s="5"/>
      <c r="F11" s="5"/>
      <c r="G11" s="5">
        <v>1</v>
      </c>
      <c r="H11" s="293" t="s">
        <v>33</v>
      </c>
      <c r="I11" s="297" t="s">
        <v>34</v>
      </c>
      <c r="J11" s="295">
        <f>J12</f>
        <v>208</v>
      </c>
      <c r="K11" s="296">
        <f>K12</f>
        <v>208</v>
      </c>
      <c r="L11" s="296">
        <f>L12</f>
        <v>208</v>
      </c>
      <c r="M11" s="296">
        <f>M12</f>
        <v>340</v>
      </c>
      <c r="N11" s="296">
        <f>N12</f>
        <v>333</v>
      </c>
      <c r="O11" s="296">
        <f>+Z11</f>
        <v>112</v>
      </c>
      <c r="P11" s="296">
        <f t="shared" ref="P11:AA11" si="0">P12</f>
        <v>0</v>
      </c>
      <c r="Q11" s="296">
        <f t="shared" si="0"/>
        <v>124</v>
      </c>
      <c r="R11" s="296">
        <f>R12</f>
        <v>18</v>
      </c>
      <c r="S11" s="296">
        <f t="shared" si="0"/>
        <v>16</v>
      </c>
      <c r="T11" s="296">
        <f t="shared" si="0"/>
        <v>15</v>
      </c>
      <c r="U11" s="296">
        <f>U12</f>
        <v>9</v>
      </c>
      <c r="V11" s="296">
        <f>V12</f>
        <v>6</v>
      </c>
      <c r="W11" s="296">
        <f t="shared" si="0"/>
        <v>21</v>
      </c>
      <c r="X11" s="296">
        <f>+X12</f>
        <v>6</v>
      </c>
      <c r="Y11" s="296">
        <v>6</v>
      </c>
      <c r="Z11" s="296">
        <f t="shared" si="0"/>
        <v>112</v>
      </c>
      <c r="AA11" s="296">
        <f t="shared" si="0"/>
        <v>0</v>
      </c>
      <c r="AB11" s="9"/>
      <c r="AC11" s="9"/>
      <c r="AD11" s="9"/>
      <c r="AE11" s="9"/>
      <c r="AF11" s="9"/>
      <c r="AG11" s="16"/>
      <c r="AH11" s="200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6"/>
      <c r="AU11" s="34">
        <f t="shared" ref="AU11:BB11" si="1">+AU12</f>
        <v>208</v>
      </c>
      <c r="AV11" s="35">
        <f t="shared" si="1"/>
        <v>37089825</v>
      </c>
      <c r="AW11" s="34">
        <f t="shared" si="1"/>
        <v>208</v>
      </c>
      <c r="AX11" s="35">
        <f t="shared" si="1"/>
        <v>37089825</v>
      </c>
      <c r="AY11" s="34">
        <f t="shared" si="1"/>
        <v>208</v>
      </c>
      <c r="AZ11" s="35">
        <f t="shared" si="1"/>
        <v>37089825</v>
      </c>
      <c r="BA11" s="34">
        <f t="shared" si="1"/>
        <v>208</v>
      </c>
      <c r="BB11" s="35">
        <f t="shared" si="1"/>
        <v>37089825</v>
      </c>
    </row>
    <row r="12" spans="1:54" x14ac:dyDescent="0.25">
      <c r="A12" s="4"/>
      <c r="B12" s="5"/>
      <c r="C12" s="5"/>
      <c r="D12" s="5"/>
      <c r="E12" s="5"/>
      <c r="F12" s="5"/>
      <c r="G12" s="6">
        <v>2</v>
      </c>
      <c r="H12" s="300" t="s">
        <v>33</v>
      </c>
      <c r="I12" s="301" t="s">
        <v>34</v>
      </c>
      <c r="J12" s="302">
        <v>208</v>
      </c>
      <c r="K12" s="303">
        <v>208</v>
      </c>
      <c r="L12" s="303">
        <v>208</v>
      </c>
      <c r="M12" s="303">
        <v>340</v>
      </c>
      <c r="N12" s="303">
        <f>+SUM(P12:AA12)</f>
        <v>333</v>
      </c>
      <c r="O12" s="296">
        <f>+Z12</f>
        <v>112</v>
      </c>
      <c r="P12" s="303">
        <v>0</v>
      </c>
      <c r="Q12" s="303">
        <v>124</v>
      </c>
      <c r="R12" s="303">
        <v>18</v>
      </c>
      <c r="S12" s="303">
        <v>16</v>
      </c>
      <c r="T12" s="303">
        <v>15</v>
      </c>
      <c r="U12" s="303">
        <v>9</v>
      </c>
      <c r="V12" s="303">
        <v>6</v>
      </c>
      <c r="W12" s="303">
        <v>21</v>
      </c>
      <c r="X12" s="303">
        <v>6</v>
      </c>
      <c r="Y12" s="303">
        <v>6</v>
      </c>
      <c r="Z12" s="303">
        <v>112</v>
      </c>
      <c r="AA12" s="303">
        <v>0</v>
      </c>
      <c r="AB12" s="9"/>
      <c r="AC12" s="9"/>
      <c r="AD12" s="9"/>
      <c r="AE12" s="9"/>
      <c r="AF12" s="9"/>
      <c r="AG12" s="16"/>
      <c r="AH12" s="200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6"/>
      <c r="AU12" s="36">
        <v>208</v>
      </c>
      <c r="AV12" s="37">
        <v>37089825</v>
      </c>
      <c r="AW12" s="36">
        <v>208</v>
      </c>
      <c r="AX12" s="37">
        <v>37089825</v>
      </c>
      <c r="AY12" s="36">
        <v>208</v>
      </c>
      <c r="AZ12" s="37">
        <v>37089825</v>
      </c>
      <c r="BA12" s="36">
        <v>208</v>
      </c>
      <c r="BB12" s="37">
        <v>37089825</v>
      </c>
    </row>
    <row r="13" spans="1:54" ht="15.75" x14ac:dyDescent="0.3">
      <c r="A13" s="4"/>
      <c r="B13" s="5"/>
      <c r="C13" s="5"/>
      <c r="D13" s="5"/>
      <c r="E13" s="5">
        <v>2</v>
      </c>
      <c r="F13" s="5">
        <v>0</v>
      </c>
      <c r="G13" s="5"/>
      <c r="H13" s="293" t="s">
        <v>35</v>
      </c>
      <c r="I13" s="297"/>
      <c r="J13" s="295"/>
      <c r="K13" s="303"/>
      <c r="L13" s="303"/>
      <c r="M13" s="303"/>
      <c r="N13" s="303"/>
      <c r="O13" s="303"/>
      <c r="P13" s="303"/>
      <c r="Q13" s="303"/>
      <c r="R13" s="303"/>
      <c r="S13" s="303"/>
      <c r="T13" s="303"/>
      <c r="U13" s="303"/>
      <c r="V13" s="303"/>
      <c r="W13" s="303"/>
      <c r="X13" s="303"/>
      <c r="Y13" s="303"/>
      <c r="Z13" s="303"/>
      <c r="AA13" s="303"/>
      <c r="AB13" s="9">
        <v>20241530</v>
      </c>
      <c r="AC13" s="9">
        <v>13920466</v>
      </c>
      <c r="AD13" s="9">
        <v>13920466</v>
      </c>
      <c r="AE13" s="9">
        <v>16043309</v>
      </c>
      <c r="AF13" s="9">
        <v>14498259.970000001</v>
      </c>
      <c r="AG13" s="16">
        <f>+AR13</f>
        <v>1280995.18</v>
      </c>
      <c r="AH13" s="200">
        <v>214693.49</v>
      </c>
      <c r="AI13" s="11">
        <v>652988.76</v>
      </c>
      <c r="AJ13" s="11">
        <v>748604.81</v>
      </c>
      <c r="AK13" s="11">
        <v>710323.64</v>
      </c>
      <c r="AL13" s="11">
        <v>803055.68</v>
      </c>
      <c r="AM13" s="11">
        <v>1012688.8</v>
      </c>
      <c r="AN13" s="11">
        <v>647524.12</v>
      </c>
      <c r="AO13" s="11">
        <v>1451922.89</v>
      </c>
      <c r="AP13" s="11">
        <v>1030878.26</v>
      </c>
      <c r="AQ13" s="11">
        <v>1879329.01</v>
      </c>
      <c r="AR13" s="11">
        <v>1280995.18</v>
      </c>
      <c r="AS13" s="16">
        <v>0</v>
      </c>
      <c r="AU13" s="36"/>
      <c r="AV13" s="37"/>
      <c r="AW13" s="36"/>
      <c r="AX13" s="37"/>
      <c r="AY13" s="36"/>
      <c r="AZ13" s="37"/>
      <c r="BA13" s="36"/>
      <c r="BB13" s="37"/>
    </row>
    <row r="14" spans="1:54" ht="15.75" x14ac:dyDescent="0.3">
      <c r="A14" s="4">
        <v>4</v>
      </c>
      <c r="B14" s="5"/>
      <c r="C14" s="5"/>
      <c r="D14" s="5"/>
      <c r="E14" s="5"/>
      <c r="F14" s="5"/>
      <c r="G14" s="5">
        <v>1</v>
      </c>
      <c r="H14" s="293" t="s">
        <v>36</v>
      </c>
      <c r="I14" s="297" t="s">
        <v>34</v>
      </c>
      <c r="J14" s="295">
        <f>J15</f>
        <v>300</v>
      </c>
      <c r="K14" s="296">
        <f>K15</f>
        <v>300</v>
      </c>
      <c r="L14" s="296">
        <f>L15</f>
        <v>300</v>
      </c>
      <c r="M14" s="296">
        <f>+M15</f>
        <v>378</v>
      </c>
      <c r="N14" s="296">
        <f>+N15</f>
        <v>308</v>
      </c>
      <c r="O14" s="296">
        <f>+Z14</f>
        <v>76</v>
      </c>
      <c r="P14" s="296">
        <f t="shared" ref="P14:AA14" si="2">+P15</f>
        <v>0</v>
      </c>
      <c r="Q14" s="296">
        <f t="shared" si="2"/>
        <v>102</v>
      </c>
      <c r="R14" s="296">
        <f t="shared" si="2"/>
        <v>14</v>
      </c>
      <c r="S14" s="296">
        <f t="shared" si="2"/>
        <v>15</v>
      </c>
      <c r="T14" s="296">
        <f t="shared" si="2"/>
        <v>27</v>
      </c>
      <c r="U14" s="296">
        <f t="shared" si="2"/>
        <v>17</v>
      </c>
      <c r="V14" s="296">
        <f t="shared" si="2"/>
        <v>22</v>
      </c>
      <c r="W14" s="296">
        <f t="shared" si="2"/>
        <v>21</v>
      </c>
      <c r="X14" s="296">
        <f t="shared" si="2"/>
        <v>14</v>
      </c>
      <c r="Y14" s="296">
        <f t="shared" si="2"/>
        <v>0</v>
      </c>
      <c r="Z14" s="296">
        <v>76</v>
      </c>
      <c r="AA14" s="296">
        <f t="shared" si="2"/>
        <v>0</v>
      </c>
      <c r="AB14" s="9"/>
      <c r="AC14" s="9"/>
      <c r="AD14" s="9"/>
      <c r="AE14" s="9"/>
      <c r="AF14" s="9"/>
      <c r="AG14" s="16"/>
      <c r="AH14" s="200"/>
      <c r="AI14" s="11"/>
      <c r="AJ14" s="11"/>
      <c r="AK14" s="11"/>
      <c r="AL14" s="11"/>
      <c r="AM14" s="11"/>
      <c r="AN14" s="11" t="s">
        <v>37</v>
      </c>
      <c r="AO14" s="11"/>
      <c r="AP14" s="11"/>
      <c r="AQ14" s="11"/>
      <c r="AR14" s="11"/>
      <c r="AS14" s="16"/>
      <c r="AU14" s="34">
        <f t="shared" ref="AU14:BB14" si="3">+AU15</f>
        <v>300</v>
      </c>
      <c r="AV14" s="35">
        <f t="shared" si="3"/>
        <v>20241530</v>
      </c>
      <c r="AW14" s="34">
        <f t="shared" si="3"/>
        <v>300</v>
      </c>
      <c r="AX14" s="35">
        <f t="shared" si="3"/>
        <v>20241530</v>
      </c>
      <c r="AY14" s="34">
        <f t="shared" si="3"/>
        <v>300</v>
      </c>
      <c r="AZ14" s="35">
        <f t="shared" si="3"/>
        <v>20241530</v>
      </c>
      <c r="BA14" s="34">
        <f t="shared" si="3"/>
        <v>300</v>
      </c>
      <c r="BB14" s="35">
        <f t="shared" si="3"/>
        <v>20241530</v>
      </c>
    </row>
    <row r="15" spans="1:54" x14ac:dyDescent="0.25">
      <c r="A15" s="4"/>
      <c r="B15" s="5"/>
      <c r="C15" s="5"/>
      <c r="D15" s="5"/>
      <c r="E15" s="5"/>
      <c r="F15" s="5"/>
      <c r="G15" s="6">
        <v>2</v>
      </c>
      <c r="H15" s="300" t="s">
        <v>36</v>
      </c>
      <c r="I15" s="301" t="s">
        <v>34</v>
      </c>
      <c r="J15" s="302">
        <v>300</v>
      </c>
      <c r="K15" s="303">
        <v>300</v>
      </c>
      <c r="L15" s="303">
        <v>300</v>
      </c>
      <c r="M15" s="303">
        <v>378</v>
      </c>
      <c r="N15" s="303">
        <f>+SUM(P15:AA15)</f>
        <v>308</v>
      </c>
      <c r="O15" s="296">
        <f>+Z15</f>
        <v>76</v>
      </c>
      <c r="P15" s="303">
        <v>0</v>
      </c>
      <c r="Q15" s="303">
        <v>102</v>
      </c>
      <c r="R15" s="303">
        <v>14</v>
      </c>
      <c r="S15" s="303">
        <v>15</v>
      </c>
      <c r="T15" s="303">
        <v>27</v>
      </c>
      <c r="U15" s="303">
        <v>17</v>
      </c>
      <c r="V15" s="303">
        <v>22</v>
      </c>
      <c r="W15" s="303">
        <v>21</v>
      </c>
      <c r="X15" s="303">
        <v>14</v>
      </c>
      <c r="Y15" s="303">
        <v>0</v>
      </c>
      <c r="Z15" s="303">
        <v>76</v>
      </c>
      <c r="AA15" s="303">
        <v>0</v>
      </c>
      <c r="AB15" s="9"/>
      <c r="AC15" s="9"/>
      <c r="AD15" s="9"/>
      <c r="AE15" s="9"/>
      <c r="AF15" s="9"/>
      <c r="AG15" s="16"/>
      <c r="AH15" s="200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6"/>
      <c r="AU15" s="36">
        <v>300</v>
      </c>
      <c r="AV15" s="9">
        <v>20241530</v>
      </c>
      <c r="AW15" s="36">
        <v>300</v>
      </c>
      <c r="AX15" s="9">
        <v>20241530</v>
      </c>
      <c r="AY15" s="36">
        <v>300</v>
      </c>
      <c r="AZ15" s="9">
        <v>20241530</v>
      </c>
      <c r="BA15" s="36">
        <v>300</v>
      </c>
      <c r="BB15" s="9">
        <v>20241530</v>
      </c>
    </row>
    <row r="16" spans="1:54" x14ac:dyDescent="0.25">
      <c r="A16" s="4"/>
      <c r="B16" s="5"/>
      <c r="C16" s="5"/>
      <c r="D16" s="5"/>
      <c r="E16" s="5">
        <v>3</v>
      </c>
      <c r="F16" s="5">
        <v>0</v>
      </c>
      <c r="G16" s="5"/>
      <c r="H16" s="293" t="s">
        <v>38</v>
      </c>
      <c r="I16" s="301"/>
      <c r="J16" s="302"/>
      <c r="K16" s="303"/>
      <c r="L16" s="303"/>
      <c r="M16" s="303"/>
      <c r="N16" s="303"/>
      <c r="O16" s="303"/>
      <c r="P16" s="303"/>
      <c r="Q16" s="303"/>
      <c r="R16" s="303"/>
      <c r="S16" s="303"/>
      <c r="T16" s="303"/>
      <c r="U16" s="303"/>
      <c r="V16" s="303"/>
      <c r="W16" s="303"/>
      <c r="X16" s="303"/>
      <c r="Y16" s="303"/>
      <c r="Z16" s="303"/>
      <c r="AA16" s="303"/>
      <c r="AB16" s="9">
        <v>26281536</v>
      </c>
      <c r="AC16" s="9">
        <v>12567325</v>
      </c>
      <c r="AD16" s="9">
        <v>12567325</v>
      </c>
      <c r="AE16" s="9">
        <v>5837747</v>
      </c>
      <c r="AF16" s="9">
        <v>4382901.8899999997</v>
      </c>
      <c r="AG16" s="16">
        <f>+AR16</f>
        <v>311567.32</v>
      </c>
      <c r="AH16" s="200">
        <v>0</v>
      </c>
      <c r="AI16" s="11">
        <v>93415.66</v>
      </c>
      <c r="AJ16" s="11">
        <v>502616.85</v>
      </c>
      <c r="AK16" s="11">
        <v>120636.73</v>
      </c>
      <c r="AL16" s="11">
        <v>3483.6</v>
      </c>
      <c r="AM16" s="11">
        <v>33630.410000000003</v>
      </c>
      <c r="AN16" s="11">
        <v>307761.90999999997</v>
      </c>
      <c r="AO16" s="11">
        <v>3411.93</v>
      </c>
      <c r="AP16" s="11">
        <v>325731</v>
      </c>
      <c r="AQ16" s="11">
        <v>310177.07</v>
      </c>
      <c r="AR16" s="11">
        <v>311567.32</v>
      </c>
      <c r="AS16" s="16">
        <v>0</v>
      </c>
      <c r="AU16" s="36"/>
      <c r="AV16" s="37"/>
      <c r="AW16" s="36"/>
      <c r="AX16" s="37"/>
      <c r="AY16" s="36"/>
      <c r="AZ16" s="37"/>
      <c r="BA16" s="36"/>
      <c r="BB16" s="37"/>
    </row>
    <row r="17" spans="1:54" ht="15.75" x14ac:dyDescent="0.3">
      <c r="A17" s="4">
        <v>4</v>
      </c>
      <c r="B17" s="5"/>
      <c r="C17" s="5"/>
      <c r="D17" s="5"/>
      <c r="E17" s="5"/>
      <c r="F17" s="5"/>
      <c r="G17" s="5">
        <v>1</v>
      </c>
      <c r="H17" s="293" t="s">
        <v>39</v>
      </c>
      <c r="I17" s="297" t="s">
        <v>34</v>
      </c>
      <c r="J17" s="295">
        <f>J18</f>
        <v>24</v>
      </c>
      <c r="K17" s="296">
        <f>K18</f>
        <v>24</v>
      </c>
      <c r="L17" s="296">
        <f>L18</f>
        <v>24</v>
      </c>
      <c r="M17" s="296">
        <f>SUM(M18)</f>
        <v>38</v>
      </c>
      <c r="N17" s="296">
        <f>+N18</f>
        <v>38</v>
      </c>
      <c r="O17" s="296">
        <f>+Z17</f>
        <v>0</v>
      </c>
      <c r="P17" s="296">
        <f t="shared" ref="P17:AA17" si="4">+P18</f>
        <v>0</v>
      </c>
      <c r="Q17" s="296">
        <f t="shared" si="4"/>
        <v>25</v>
      </c>
      <c r="R17" s="296">
        <f t="shared" si="4"/>
        <v>0</v>
      </c>
      <c r="S17" s="296">
        <f t="shared" si="4"/>
        <v>0</v>
      </c>
      <c r="T17" s="296">
        <f t="shared" si="4"/>
        <v>3</v>
      </c>
      <c r="U17" s="296">
        <f t="shared" si="4"/>
        <v>3</v>
      </c>
      <c r="V17" s="296">
        <f t="shared" si="4"/>
        <v>0</v>
      </c>
      <c r="W17" s="296">
        <f t="shared" si="4"/>
        <v>7</v>
      </c>
      <c r="X17" s="296">
        <v>0</v>
      </c>
      <c r="Y17" s="296">
        <f t="shared" si="4"/>
        <v>0</v>
      </c>
      <c r="Z17" s="296">
        <f t="shared" si="4"/>
        <v>0</v>
      </c>
      <c r="AA17" s="296">
        <f t="shared" si="4"/>
        <v>0</v>
      </c>
      <c r="AB17" s="9"/>
      <c r="AC17" s="9"/>
      <c r="AD17" s="9"/>
      <c r="AE17" s="9"/>
      <c r="AF17" s="9"/>
      <c r="AG17" s="16"/>
      <c r="AH17" s="200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6"/>
      <c r="AU17" s="34">
        <f t="shared" ref="AU17:BB17" si="5">+AU18</f>
        <v>24</v>
      </c>
      <c r="AV17" s="35">
        <f t="shared" si="5"/>
        <v>26281536</v>
      </c>
      <c r="AW17" s="34">
        <f t="shared" si="5"/>
        <v>24</v>
      </c>
      <c r="AX17" s="35">
        <f t="shared" si="5"/>
        <v>26281536</v>
      </c>
      <c r="AY17" s="34">
        <f t="shared" si="5"/>
        <v>24</v>
      </c>
      <c r="AZ17" s="35">
        <f t="shared" si="5"/>
        <v>26281536</v>
      </c>
      <c r="BA17" s="34">
        <f t="shared" si="5"/>
        <v>24</v>
      </c>
      <c r="BB17" s="35">
        <f t="shared" si="5"/>
        <v>26281536</v>
      </c>
    </row>
    <row r="18" spans="1:54" x14ac:dyDescent="0.25">
      <c r="A18" s="4"/>
      <c r="B18" s="5"/>
      <c r="C18" s="5"/>
      <c r="D18" s="5"/>
      <c r="E18" s="5"/>
      <c r="F18" s="5"/>
      <c r="G18" s="6">
        <v>2</v>
      </c>
      <c r="H18" s="300" t="s">
        <v>39</v>
      </c>
      <c r="I18" s="301" t="s">
        <v>34</v>
      </c>
      <c r="J18" s="302">
        <v>24</v>
      </c>
      <c r="K18" s="303">
        <v>24</v>
      </c>
      <c r="L18" s="303">
        <v>24</v>
      </c>
      <c r="M18" s="303">
        <v>38</v>
      </c>
      <c r="N18" s="303">
        <f>+SUM(P18:AA18)</f>
        <v>38</v>
      </c>
      <c r="O18" s="296">
        <f>+Z18</f>
        <v>0</v>
      </c>
      <c r="P18" s="303">
        <v>0</v>
      </c>
      <c r="Q18" s="303">
        <v>25</v>
      </c>
      <c r="R18" s="303">
        <v>0</v>
      </c>
      <c r="S18" s="303">
        <v>0</v>
      </c>
      <c r="T18" s="303">
        <v>3</v>
      </c>
      <c r="U18" s="303">
        <v>3</v>
      </c>
      <c r="V18" s="303">
        <v>0</v>
      </c>
      <c r="W18" s="303">
        <v>7</v>
      </c>
      <c r="X18" s="303">
        <v>0</v>
      </c>
      <c r="Y18" s="303">
        <v>0</v>
      </c>
      <c r="Z18" s="303">
        <v>0</v>
      </c>
      <c r="AA18" s="303">
        <v>0</v>
      </c>
      <c r="AB18" s="9"/>
      <c r="AC18" s="9"/>
      <c r="AD18" s="9"/>
      <c r="AE18" s="9"/>
      <c r="AF18" s="9"/>
      <c r="AG18" s="16"/>
      <c r="AH18" s="200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6"/>
      <c r="AU18" s="36">
        <v>24</v>
      </c>
      <c r="AV18" s="9">
        <v>26281536</v>
      </c>
      <c r="AW18" s="36">
        <v>24</v>
      </c>
      <c r="AX18" s="9">
        <v>26281536</v>
      </c>
      <c r="AY18" s="36">
        <v>24</v>
      </c>
      <c r="AZ18" s="9">
        <v>26281536</v>
      </c>
      <c r="BA18" s="36">
        <v>24</v>
      </c>
      <c r="BB18" s="9">
        <v>26281536</v>
      </c>
    </row>
    <row r="19" spans="1:54" x14ac:dyDescent="0.25">
      <c r="A19" s="4"/>
      <c r="B19" s="5">
        <v>99</v>
      </c>
      <c r="C19" s="5"/>
      <c r="D19" s="5"/>
      <c r="E19" s="5"/>
      <c r="F19" s="5"/>
      <c r="G19" s="5"/>
      <c r="H19" s="293" t="s">
        <v>40</v>
      </c>
      <c r="I19" s="301"/>
      <c r="J19" s="302"/>
      <c r="K19" s="303"/>
      <c r="L19" s="303"/>
      <c r="M19" s="303"/>
      <c r="N19" s="303"/>
      <c r="O19" s="303"/>
      <c r="P19" s="303"/>
      <c r="Q19" s="303"/>
      <c r="R19" s="303"/>
      <c r="S19" s="303"/>
      <c r="T19" s="303"/>
      <c r="U19" s="303"/>
      <c r="V19" s="303"/>
      <c r="W19" s="303"/>
      <c r="X19" s="303"/>
      <c r="Y19" s="303"/>
      <c r="Z19" s="303"/>
      <c r="AA19" s="303"/>
      <c r="AB19" s="9"/>
      <c r="AC19" s="9"/>
      <c r="AD19" s="9"/>
      <c r="AE19" s="9"/>
      <c r="AF19" s="9"/>
      <c r="AG19" s="16"/>
      <c r="AH19" s="200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6"/>
      <c r="AU19" s="36"/>
      <c r="AV19" s="37"/>
      <c r="AW19" s="36"/>
      <c r="AX19" s="37"/>
      <c r="AY19" s="36"/>
      <c r="AZ19" s="37"/>
      <c r="BA19" s="36"/>
      <c r="BB19" s="37"/>
    </row>
    <row r="20" spans="1:54" x14ac:dyDescent="0.25">
      <c r="A20" s="4"/>
      <c r="B20" s="5"/>
      <c r="C20" s="5">
        <v>0</v>
      </c>
      <c r="D20" s="5"/>
      <c r="E20" s="5"/>
      <c r="F20" s="5"/>
      <c r="G20" s="5"/>
      <c r="H20" s="293" t="s">
        <v>30</v>
      </c>
      <c r="I20" s="301"/>
      <c r="J20" s="302"/>
      <c r="K20" s="303"/>
      <c r="L20" s="303"/>
      <c r="M20" s="303"/>
      <c r="N20" s="303"/>
      <c r="O20" s="303"/>
      <c r="P20" s="303"/>
      <c r="Q20" s="303"/>
      <c r="R20" s="303"/>
      <c r="S20" s="303"/>
      <c r="T20" s="303"/>
      <c r="U20" s="303"/>
      <c r="V20" s="303"/>
      <c r="W20" s="303"/>
      <c r="X20" s="303"/>
      <c r="Y20" s="303"/>
      <c r="Z20" s="303"/>
      <c r="AA20" s="303"/>
      <c r="AB20" s="9"/>
      <c r="AC20" s="9"/>
      <c r="AD20" s="9"/>
      <c r="AE20" s="9"/>
      <c r="AF20" s="9"/>
      <c r="AG20" s="16"/>
      <c r="AH20" s="200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6"/>
      <c r="AU20" s="36"/>
      <c r="AV20" s="37"/>
      <c r="AW20" s="36"/>
      <c r="AX20" s="37"/>
      <c r="AY20" s="36"/>
      <c r="AZ20" s="37"/>
      <c r="BA20" s="36"/>
      <c r="BB20" s="37"/>
    </row>
    <row r="21" spans="1:54" x14ac:dyDescent="0.25">
      <c r="A21" s="4"/>
      <c r="B21" s="5"/>
      <c r="C21" s="5"/>
      <c r="D21" s="5">
        <v>0</v>
      </c>
      <c r="E21" s="5"/>
      <c r="F21" s="5"/>
      <c r="G21" s="5"/>
      <c r="H21" s="293" t="s">
        <v>31</v>
      </c>
      <c r="I21" s="301"/>
      <c r="J21" s="302"/>
      <c r="K21" s="303"/>
      <c r="L21" s="303"/>
      <c r="M21" s="303"/>
      <c r="N21" s="303"/>
      <c r="O21" s="303"/>
      <c r="P21" s="303"/>
      <c r="Q21" s="303"/>
      <c r="R21" s="303"/>
      <c r="S21" s="303"/>
      <c r="T21" s="303"/>
      <c r="U21" s="303"/>
      <c r="V21" s="303"/>
      <c r="W21" s="303"/>
      <c r="X21" s="303"/>
      <c r="Y21" s="303"/>
      <c r="Z21" s="303"/>
      <c r="AA21" s="303"/>
      <c r="AB21" s="9"/>
      <c r="AC21" s="9"/>
      <c r="AD21" s="9"/>
      <c r="AE21" s="9"/>
      <c r="AF21" s="9"/>
      <c r="AG21" s="16"/>
      <c r="AH21" s="200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6"/>
      <c r="AU21" s="36"/>
      <c r="AV21" s="37"/>
      <c r="AW21" s="36"/>
      <c r="AX21" s="37"/>
      <c r="AY21" s="36"/>
      <c r="AZ21" s="37"/>
      <c r="BA21" s="36"/>
      <c r="BB21" s="37"/>
    </row>
    <row r="22" spans="1:54" x14ac:dyDescent="0.25">
      <c r="A22" s="4"/>
      <c r="B22" s="5"/>
      <c r="C22" s="5"/>
      <c r="D22" s="5"/>
      <c r="E22" s="5">
        <v>1</v>
      </c>
      <c r="F22" s="5">
        <v>0</v>
      </c>
      <c r="G22" s="5"/>
      <c r="H22" s="293" t="s">
        <v>41</v>
      </c>
      <c r="I22" s="301"/>
      <c r="J22" s="302"/>
      <c r="K22" s="303"/>
      <c r="L22" s="303"/>
      <c r="M22" s="303"/>
      <c r="N22" s="303"/>
      <c r="O22" s="303"/>
      <c r="P22" s="303"/>
      <c r="Q22" s="303"/>
      <c r="R22" s="303"/>
      <c r="S22" s="303"/>
      <c r="T22" s="303"/>
      <c r="U22" s="303"/>
      <c r="V22" s="303"/>
      <c r="W22" s="303"/>
      <c r="X22" s="303"/>
      <c r="Y22" s="303"/>
      <c r="Z22" s="303"/>
      <c r="AA22" s="303"/>
      <c r="AB22" s="9">
        <v>49645020</v>
      </c>
      <c r="AC22" s="9">
        <v>5374520</v>
      </c>
      <c r="AD22" s="9">
        <v>5374520</v>
      </c>
      <c r="AE22" s="9">
        <v>5924520</v>
      </c>
      <c r="AF22" s="9">
        <f>SUM(AH22:AS22)</f>
        <v>5539136</v>
      </c>
      <c r="AG22" s="16">
        <f>+AR22</f>
        <v>385376</v>
      </c>
      <c r="AH22" s="200">
        <v>346800</v>
      </c>
      <c r="AI22" s="11">
        <v>1173952</v>
      </c>
      <c r="AJ22" s="11">
        <v>385376</v>
      </c>
      <c r="AK22" s="11">
        <v>385376</v>
      </c>
      <c r="AL22" s="11">
        <v>346800</v>
      </c>
      <c r="AM22" s="11">
        <v>423952</v>
      </c>
      <c r="AN22" s="11">
        <v>385376</v>
      </c>
      <c r="AO22" s="11">
        <v>385376</v>
      </c>
      <c r="AP22" s="11">
        <v>935376</v>
      </c>
      <c r="AQ22" s="11">
        <v>385376</v>
      </c>
      <c r="AR22" s="11">
        <v>385376</v>
      </c>
      <c r="AS22" s="16">
        <v>0</v>
      </c>
      <c r="AU22" s="36"/>
      <c r="AV22" s="37"/>
      <c r="AW22" s="36"/>
      <c r="AX22" s="37"/>
      <c r="AY22" s="36"/>
      <c r="AZ22" s="37"/>
      <c r="BA22" s="36"/>
      <c r="BB22" s="37"/>
    </row>
    <row r="23" spans="1:54" ht="30" x14ac:dyDescent="0.3">
      <c r="A23" s="4">
        <v>4</v>
      </c>
      <c r="B23" s="5"/>
      <c r="C23" s="5"/>
      <c r="D23" s="5"/>
      <c r="E23" s="5"/>
      <c r="F23" s="5"/>
      <c r="G23" s="5">
        <v>1</v>
      </c>
      <c r="H23" s="293" t="s">
        <v>42</v>
      </c>
      <c r="I23" s="297" t="s">
        <v>43</v>
      </c>
      <c r="J23" s="295">
        <f>J24</f>
        <v>24</v>
      </c>
      <c r="K23" s="296">
        <f>K24</f>
        <v>24</v>
      </c>
      <c r="L23" s="296">
        <f>L24</f>
        <v>13</v>
      </c>
      <c r="M23" s="296">
        <f>+M24</f>
        <v>14</v>
      </c>
      <c r="N23" s="296">
        <f>+N24</f>
        <v>13</v>
      </c>
      <c r="O23" s="296">
        <f>+Z23</f>
        <v>1</v>
      </c>
      <c r="P23" s="296">
        <f>+P24</f>
        <v>0</v>
      </c>
      <c r="Q23" s="296">
        <f t="shared" ref="Q23:AA23" si="6">+Q24</f>
        <v>2</v>
      </c>
      <c r="R23" s="296">
        <f t="shared" si="6"/>
        <v>2</v>
      </c>
      <c r="S23" s="296">
        <f t="shared" si="6"/>
        <v>1</v>
      </c>
      <c r="T23" s="296">
        <f t="shared" si="6"/>
        <v>1</v>
      </c>
      <c r="U23" s="296">
        <f t="shared" si="6"/>
        <v>1</v>
      </c>
      <c r="V23" s="296">
        <v>1</v>
      </c>
      <c r="W23" s="296">
        <f t="shared" si="6"/>
        <v>1</v>
      </c>
      <c r="X23" s="296">
        <f t="shared" si="6"/>
        <v>1</v>
      </c>
      <c r="Y23" s="296">
        <v>2</v>
      </c>
      <c r="Z23" s="296">
        <f t="shared" si="6"/>
        <v>1</v>
      </c>
      <c r="AA23" s="296">
        <f t="shared" si="6"/>
        <v>0</v>
      </c>
      <c r="AB23" s="9"/>
      <c r="AC23" s="9"/>
      <c r="AD23" s="9"/>
      <c r="AE23" s="9"/>
      <c r="AF23" s="9"/>
      <c r="AG23" s="16"/>
      <c r="AH23" s="200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6"/>
      <c r="AU23" s="34">
        <f t="shared" ref="AU23:BB23" si="7">+AU24</f>
        <v>24</v>
      </c>
      <c r="AV23" s="35">
        <f t="shared" si="7"/>
        <v>49645020</v>
      </c>
      <c r="AW23" s="34">
        <f t="shared" si="7"/>
        <v>24</v>
      </c>
      <c r="AX23" s="35">
        <f t="shared" si="7"/>
        <v>49645020</v>
      </c>
      <c r="AY23" s="34">
        <f t="shared" si="7"/>
        <v>24</v>
      </c>
      <c r="AZ23" s="35">
        <f t="shared" si="7"/>
        <v>49645020</v>
      </c>
      <c r="BA23" s="34">
        <f t="shared" si="7"/>
        <v>24</v>
      </c>
      <c r="BB23" s="35">
        <f t="shared" si="7"/>
        <v>49645020</v>
      </c>
    </row>
    <row r="24" spans="1:54" ht="27" x14ac:dyDescent="0.25">
      <c r="A24" s="4"/>
      <c r="B24" s="5"/>
      <c r="C24" s="5"/>
      <c r="D24" s="5"/>
      <c r="E24" s="5"/>
      <c r="F24" s="5"/>
      <c r="G24" s="6">
        <v>2</v>
      </c>
      <c r="H24" s="300" t="s">
        <v>42</v>
      </c>
      <c r="I24" s="301" t="s">
        <v>43</v>
      </c>
      <c r="J24" s="302">
        <v>24</v>
      </c>
      <c r="K24" s="303">
        <v>24</v>
      </c>
      <c r="L24" s="303">
        <v>13</v>
      </c>
      <c r="M24" s="303">
        <v>14</v>
      </c>
      <c r="N24" s="303">
        <f>+SUM(P24:AA24)</f>
        <v>13</v>
      </c>
      <c r="O24" s="296">
        <f>+Z24</f>
        <v>1</v>
      </c>
      <c r="P24" s="303">
        <v>0</v>
      </c>
      <c r="Q24" s="303">
        <v>2</v>
      </c>
      <c r="R24" s="303">
        <v>2</v>
      </c>
      <c r="S24" s="303">
        <v>1</v>
      </c>
      <c r="T24" s="303">
        <v>1</v>
      </c>
      <c r="U24" s="303">
        <v>1</v>
      </c>
      <c r="V24" s="303">
        <v>1</v>
      </c>
      <c r="W24" s="303">
        <v>1</v>
      </c>
      <c r="X24" s="303">
        <v>1</v>
      </c>
      <c r="Y24" s="303">
        <v>2</v>
      </c>
      <c r="Z24" s="303">
        <v>1</v>
      </c>
      <c r="AA24" s="303">
        <v>0</v>
      </c>
      <c r="AB24" s="9"/>
      <c r="AC24" s="9"/>
      <c r="AD24" s="9"/>
      <c r="AE24" s="9"/>
      <c r="AF24" s="9"/>
      <c r="AG24" s="16"/>
      <c r="AH24" s="200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6"/>
      <c r="AU24" s="36">
        <v>24</v>
      </c>
      <c r="AV24" s="9">
        <v>49645020</v>
      </c>
      <c r="AW24" s="36">
        <v>24</v>
      </c>
      <c r="AX24" s="9">
        <v>49645020</v>
      </c>
      <c r="AY24" s="36">
        <v>24</v>
      </c>
      <c r="AZ24" s="9">
        <v>49645020</v>
      </c>
      <c r="BA24" s="36">
        <v>24</v>
      </c>
      <c r="BB24" s="9">
        <v>49645020</v>
      </c>
    </row>
    <row r="25" spans="1:54" ht="30" x14ac:dyDescent="0.25">
      <c r="A25" s="4" t="s">
        <v>270</v>
      </c>
      <c r="B25" s="5" t="s">
        <v>270</v>
      </c>
      <c r="C25" s="5" t="s">
        <v>271</v>
      </c>
      <c r="D25" s="5"/>
      <c r="E25" s="5">
        <v>2</v>
      </c>
      <c r="F25" s="5">
        <v>0</v>
      </c>
      <c r="G25" s="5"/>
      <c r="H25" s="293" t="s">
        <v>44</v>
      </c>
      <c r="I25" s="301"/>
      <c r="J25" s="302"/>
      <c r="K25" s="303"/>
      <c r="L25" s="303"/>
      <c r="M25" s="303"/>
      <c r="N25" s="303"/>
      <c r="O25" s="303"/>
      <c r="P25" s="303"/>
      <c r="Q25" s="303"/>
      <c r="R25" s="303"/>
      <c r="S25" s="303"/>
      <c r="T25" s="303"/>
      <c r="U25" s="303"/>
      <c r="V25" s="303"/>
      <c r="W25" s="303"/>
      <c r="X25" s="303"/>
      <c r="Y25" s="303"/>
      <c r="Z25" s="303"/>
      <c r="AA25" s="303"/>
      <c r="AB25" s="9">
        <v>59083</v>
      </c>
      <c r="AC25" s="9">
        <v>55159</v>
      </c>
      <c r="AD25" s="9">
        <v>55159</v>
      </c>
      <c r="AE25" s="9">
        <v>2559102</v>
      </c>
      <c r="AF25" s="9">
        <f>SUM(AH25:AS25)</f>
        <v>2306194.13</v>
      </c>
      <c r="AG25" s="16">
        <f>+AR25</f>
        <v>2250000</v>
      </c>
      <c r="AH25" s="200">
        <v>0</v>
      </c>
      <c r="AI25" s="11">
        <v>0</v>
      </c>
      <c r="AJ25" s="11">
        <v>57786.239999999998</v>
      </c>
      <c r="AK25" s="11">
        <v>-1592.11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2250000</v>
      </c>
      <c r="AS25" s="16">
        <v>0</v>
      </c>
      <c r="AU25" s="36"/>
      <c r="AV25" s="37"/>
      <c r="AW25" s="36"/>
      <c r="AX25" s="37"/>
      <c r="AY25" s="36"/>
      <c r="AZ25" s="37"/>
      <c r="BA25" s="36"/>
      <c r="BB25" s="37"/>
    </row>
    <row r="26" spans="1:54" ht="30" x14ac:dyDescent="0.3">
      <c r="A26" s="4" t="s">
        <v>270</v>
      </c>
      <c r="B26" s="5" t="s">
        <v>270</v>
      </c>
      <c r="C26" s="5" t="s">
        <v>270</v>
      </c>
      <c r="D26" s="5"/>
      <c r="E26" s="5"/>
      <c r="F26" s="5"/>
      <c r="G26" s="5">
        <v>1</v>
      </c>
      <c r="H26" s="293" t="s">
        <v>45</v>
      </c>
      <c r="I26" s="297" t="s">
        <v>43</v>
      </c>
      <c r="J26" s="295">
        <f>J27</f>
        <v>1</v>
      </c>
      <c r="K26" s="296">
        <f>K27</f>
        <v>1</v>
      </c>
      <c r="L26" s="296">
        <f>L27</f>
        <v>1</v>
      </c>
      <c r="M26" s="296">
        <f>M27</f>
        <v>2</v>
      </c>
      <c r="N26" s="296">
        <f>N27</f>
        <v>2</v>
      </c>
      <c r="O26" s="296">
        <f>+Z26</f>
        <v>1</v>
      </c>
      <c r="P26" s="296">
        <f t="shared" ref="P26:Z26" si="8">P27</f>
        <v>0</v>
      </c>
      <c r="Q26" s="296">
        <f t="shared" si="8"/>
        <v>0</v>
      </c>
      <c r="R26" s="296">
        <f t="shared" si="8"/>
        <v>0</v>
      </c>
      <c r="S26" s="296">
        <f t="shared" si="8"/>
        <v>1</v>
      </c>
      <c r="T26" s="296">
        <f t="shared" si="8"/>
        <v>0</v>
      </c>
      <c r="U26" s="296">
        <f t="shared" si="8"/>
        <v>0</v>
      </c>
      <c r="V26" s="296">
        <f t="shared" si="8"/>
        <v>0</v>
      </c>
      <c r="W26" s="296">
        <f t="shared" si="8"/>
        <v>0</v>
      </c>
      <c r="X26" s="296">
        <f t="shared" si="8"/>
        <v>0</v>
      </c>
      <c r="Y26" s="296">
        <f t="shared" si="8"/>
        <v>0</v>
      </c>
      <c r="Z26" s="296">
        <f t="shared" si="8"/>
        <v>1</v>
      </c>
      <c r="AA26" s="296">
        <v>0</v>
      </c>
      <c r="AB26" s="9"/>
      <c r="AC26" s="9"/>
      <c r="AD26" s="9"/>
      <c r="AE26" s="9"/>
      <c r="AF26" s="9"/>
      <c r="AG26" s="16"/>
      <c r="AH26" s="200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6"/>
      <c r="AU26" s="34">
        <f t="shared" ref="AU26:BB26" si="9">+AU27</f>
        <v>1</v>
      </c>
      <c r="AV26" s="35">
        <f t="shared" si="9"/>
        <v>59083</v>
      </c>
      <c r="AW26" s="34">
        <f t="shared" si="9"/>
        <v>1</v>
      </c>
      <c r="AX26" s="35">
        <f t="shared" si="9"/>
        <v>59083</v>
      </c>
      <c r="AY26" s="34">
        <f t="shared" si="9"/>
        <v>1</v>
      </c>
      <c r="AZ26" s="35">
        <f t="shared" si="9"/>
        <v>59083</v>
      </c>
      <c r="BA26" s="34">
        <f t="shared" si="9"/>
        <v>1</v>
      </c>
      <c r="BB26" s="35">
        <f t="shared" si="9"/>
        <v>59083</v>
      </c>
    </row>
    <row r="27" spans="1:54" ht="27" x14ac:dyDescent="0.25">
      <c r="A27" s="4" t="s">
        <v>270</v>
      </c>
      <c r="B27" s="5" t="s">
        <v>270</v>
      </c>
      <c r="C27" s="5" t="s">
        <v>270</v>
      </c>
      <c r="D27" s="5"/>
      <c r="E27" s="5"/>
      <c r="F27" s="5"/>
      <c r="G27" s="6">
        <v>2</v>
      </c>
      <c r="H27" s="300" t="s">
        <v>45</v>
      </c>
      <c r="I27" s="301" t="s">
        <v>43</v>
      </c>
      <c r="J27" s="302">
        <v>1</v>
      </c>
      <c r="K27" s="303">
        <v>1</v>
      </c>
      <c r="L27" s="303">
        <v>1</v>
      </c>
      <c r="M27" s="303">
        <v>2</v>
      </c>
      <c r="N27" s="303">
        <f>SUM(P27:AA27)</f>
        <v>2</v>
      </c>
      <c r="O27" s="296">
        <f>+Z27</f>
        <v>1</v>
      </c>
      <c r="P27" s="303">
        <v>0</v>
      </c>
      <c r="Q27" s="303">
        <v>0</v>
      </c>
      <c r="R27" s="303">
        <v>0</v>
      </c>
      <c r="S27" s="303">
        <v>1</v>
      </c>
      <c r="T27" s="303">
        <v>0</v>
      </c>
      <c r="U27" s="303">
        <v>0</v>
      </c>
      <c r="V27" s="303">
        <v>0</v>
      </c>
      <c r="W27" s="303">
        <v>0</v>
      </c>
      <c r="X27" s="303">
        <v>0</v>
      </c>
      <c r="Y27" s="303">
        <v>0</v>
      </c>
      <c r="Z27" s="303">
        <v>1</v>
      </c>
      <c r="AA27" s="303">
        <v>0</v>
      </c>
      <c r="AB27" s="9"/>
      <c r="AC27" s="9"/>
      <c r="AD27" s="9"/>
      <c r="AE27" s="9"/>
      <c r="AF27" s="9"/>
      <c r="AG27" s="16"/>
      <c r="AH27" s="200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6"/>
      <c r="AU27" s="36">
        <v>1</v>
      </c>
      <c r="AV27" s="37">
        <v>59083</v>
      </c>
      <c r="AW27" s="36">
        <v>1</v>
      </c>
      <c r="AX27" s="37">
        <v>59083</v>
      </c>
      <c r="AY27" s="36">
        <v>1</v>
      </c>
      <c r="AZ27" s="37">
        <v>59083</v>
      </c>
      <c r="BA27" s="36">
        <v>1</v>
      </c>
      <c r="BB27" s="37">
        <v>59083</v>
      </c>
    </row>
    <row r="28" spans="1:54" ht="30" x14ac:dyDescent="0.25">
      <c r="A28" s="4"/>
      <c r="B28" s="5"/>
      <c r="C28" s="5"/>
      <c r="D28" s="5"/>
      <c r="E28" s="5">
        <v>3</v>
      </c>
      <c r="F28" s="5">
        <v>0</v>
      </c>
      <c r="G28" s="5"/>
      <c r="H28" s="293" t="s">
        <v>46</v>
      </c>
      <c r="I28" s="301"/>
      <c r="J28" s="302"/>
      <c r="K28" s="303"/>
      <c r="L28" s="303"/>
      <c r="M28" s="303"/>
      <c r="N28" s="303"/>
      <c r="O28" s="303"/>
      <c r="P28" s="303"/>
      <c r="Q28" s="303"/>
      <c r="R28" s="303"/>
      <c r="S28" s="303"/>
      <c r="T28" s="303"/>
      <c r="U28" s="303"/>
      <c r="V28" s="303"/>
      <c r="W28" s="303"/>
      <c r="X28" s="303"/>
      <c r="Y28" s="303"/>
      <c r="Z28" s="303"/>
      <c r="AA28" s="303"/>
      <c r="AB28" s="9">
        <v>400000</v>
      </c>
      <c r="AC28" s="9">
        <v>280000</v>
      </c>
      <c r="AD28" s="9">
        <v>280000</v>
      </c>
      <c r="AE28" s="9">
        <v>397000</v>
      </c>
      <c r="AF28" s="9">
        <f>SUM(AH28:AS28)</f>
        <v>385220</v>
      </c>
      <c r="AG28" s="16">
        <f>+AR28</f>
        <v>0</v>
      </c>
      <c r="AH28" s="200">
        <v>0</v>
      </c>
      <c r="AI28" s="11">
        <v>0</v>
      </c>
      <c r="AJ28" s="11">
        <v>385220</v>
      </c>
      <c r="AK28" s="11">
        <v>0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6">
        <v>0</v>
      </c>
      <c r="AU28" s="36"/>
      <c r="AV28" s="37"/>
      <c r="AW28" s="36"/>
      <c r="AX28" s="37"/>
      <c r="AY28" s="36"/>
      <c r="AZ28" s="37"/>
      <c r="BA28" s="36"/>
      <c r="BB28" s="37"/>
    </row>
    <row r="29" spans="1:54" ht="30" x14ac:dyDescent="0.3">
      <c r="A29" s="4">
        <v>4</v>
      </c>
      <c r="B29" s="5"/>
      <c r="C29" s="5"/>
      <c r="D29" s="5"/>
      <c r="E29" s="5"/>
      <c r="F29" s="5"/>
      <c r="G29" s="5">
        <v>1</v>
      </c>
      <c r="H29" s="293" t="s">
        <v>47</v>
      </c>
      <c r="I29" s="297" t="s">
        <v>43</v>
      </c>
      <c r="J29" s="295">
        <f>J30</f>
        <v>1</v>
      </c>
      <c r="K29" s="296">
        <f>K30</f>
        <v>1</v>
      </c>
      <c r="L29" s="296">
        <f>L30</f>
        <v>1</v>
      </c>
      <c r="M29" s="296">
        <f>M30</f>
        <v>1</v>
      </c>
      <c r="N29" s="296">
        <f>+N30</f>
        <v>1</v>
      </c>
      <c r="O29" s="296">
        <f>+Z29</f>
        <v>0</v>
      </c>
      <c r="P29" s="296">
        <f t="shared" ref="P29:AA29" si="10">+P30</f>
        <v>0</v>
      </c>
      <c r="Q29" s="296">
        <f t="shared" si="10"/>
        <v>0</v>
      </c>
      <c r="R29" s="296">
        <f t="shared" si="10"/>
        <v>0</v>
      </c>
      <c r="S29" s="296">
        <f t="shared" si="10"/>
        <v>1</v>
      </c>
      <c r="T29" s="296">
        <f t="shared" si="10"/>
        <v>0</v>
      </c>
      <c r="U29" s="296">
        <f t="shared" si="10"/>
        <v>0</v>
      </c>
      <c r="V29" s="296">
        <f t="shared" si="10"/>
        <v>0</v>
      </c>
      <c r="W29" s="296">
        <f t="shared" si="10"/>
        <v>0</v>
      </c>
      <c r="X29" s="296">
        <f t="shared" si="10"/>
        <v>0</v>
      </c>
      <c r="Y29" s="296">
        <f t="shared" si="10"/>
        <v>0</v>
      </c>
      <c r="Z29" s="296">
        <f t="shared" si="10"/>
        <v>0</v>
      </c>
      <c r="AA29" s="296">
        <f t="shared" si="10"/>
        <v>0</v>
      </c>
      <c r="AB29" s="9"/>
      <c r="AC29" s="9"/>
      <c r="AD29" s="9"/>
      <c r="AE29" s="9"/>
      <c r="AF29" s="9"/>
      <c r="AG29" s="10"/>
      <c r="AH29" s="200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6"/>
      <c r="AU29" s="34">
        <f t="shared" ref="AU29:BB29" si="11">+AU30</f>
        <v>1</v>
      </c>
      <c r="AV29" s="35">
        <f t="shared" si="11"/>
        <v>400000</v>
      </c>
      <c r="AW29" s="34">
        <f t="shared" si="11"/>
        <v>1</v>
      </c>
      <c r="AX29" s="35">
        <f t="shared" si="11"/>
        <v>400000</v>
      </c>
      <c r="AY29" s="34">
        <f t="shared" si="11"/>
        <v>1</v>
      </c>
      <c r="AZ29" s="35">
        <f t="shared" si="11"/>
        <v>400000</v>
      </c>
      <c r="BA29" s="34">
        <f t="shared" si="11"/>
        <v>1</v>
      </c>
      <c r="BB29" s="35">
        <f t="shared" si="11"/>
        <v>400000</v>
      </c>
    </row>
    <row r="30" spans="1:54" ht="27.75" thickBot="1" x14ac:dyDescent="0.3">
      <c r="A30" s="304"/>
      <c r="B30" s="305"/>
      <c r="C30" s="305"/>
      <c r="D30" s="305"/>
      <c r="E30" s="305"/>
      <c r="F30" s="305"/>
      <c r="G30" s="306">
        <v>2</v>
      </c>
      <c r="H30" s="307" t="s">
        <v>48</v>
      </c>
      <c r="I30" s="308" t="s">
        <v>43</v>
      </c>
      <c r="J30" s="309">
        <v>1</v>
      </c>
      <c r="K30" s="310">
        <v>1</v>
      </c>
      <c r="L30" s="310">
        <v>1</v>
      </c>
      <c r="M30" s="310">
        <v>1</v>
      </c>
      <c r="N30" s="310">
        <f>+SUM(P30:AA30)</f>
        <v>1</v>
      </c>
      <c r="O30" s="296">
        <f>+Z30</f>
        <v>0</v>
      </c>
      <c r="P30" s="310">
        <v>0</v>
      </c>
      <c r="Q30" s="310">
        <v>0</v>
      </c>
      <c r="R30" s="310">
        <v>0</v>
      </c>
      <c r="S30" s="310">
        <v>1</v>
      </c>
      <c r="T30" s="310">
        <v>0</v>
      </c>
      <c r="U30" s="310">
        <v>0</v>
      </c>
      <c r="V30" s="310">
        <v>0</v>
      </c>
      <c r="W30" s="310">
        <v>0</v>
      </c>
      <c r="X30" s="310">
        <v>0</v>
      </c>
      <c r="Y30" s="310">
        <v>0</v>
      </c>
      <c r="Z30" s="310">
        <v>0</v>
      </c>
      <c r="AA30" s="310">
        <v>0</v>
      </c>
      <c r="AB30" s="13"/>
      <c r="AC30" s="13"/>
      <c r="AD30" s="13"/>
      <c r="AE30" s="13"/>
      <c r="AF30" s="13"/>
      <c r="AG30" s="14"/>
      <c r="AH30" s="201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7"/>
      <c r="AU30" s="36">
        <v>1</v>
      </c>
      <c r="AV30" s="37">
        <v>400000</v>
      </c>
      <c r="AW30" s="36">
        <v>1</v>
      </c>
      <c r="AX30" s="37">
        <v>400000</v>
      </c>
      <c r="AY30" s="36">
        <v>1</v>
      </c>
      <c r="AZ30" s="37">
        <v>400000</v>
      </c>
      <c r="BA30" s="36">
        <v>1</v>
      </c>
      <c r="BB30" s="37">
        <v>400000</v>
      </c>
    </row>
    <row r="32" spans="1:54" ht="60" x14ac:dyDescent="0.25">
      <c r="H32" s="33" t="s">
        <v>56</v>
      </c>
      <c r="L32" s="202"/>
      <c r="M32" s="202"/>
      <c r="N32" s="202"/>
      <c r="O32" s="225"/>
      <c r="P32" s="225"/>
      <c r="Q32" s="225"/>
      <c r="R32" s="225"/>
      <c r="S32" s="225"/>
      <c r="T32" s="225"/>
      <c r="U32" s="225"/>
      <c r="V32" s="225"/>
      <c r="W32" s="225"/>
      <c r="X32" s="225"/>
      <c r="Y32" s="225"/>
      <c r="AD32" s="202"/>
      <c r="AE32" s="202"/>
      <c r="AF32" s="202"/>
    </row>
    <row r="33" spans="11:32" x14ac:dyDescent="0.25">
      <c r="K33" t="s">
        <v>214</v>
      </c>
      <c r="AF33" s="202"/>
    </row>
    <row r="34" spans="11:32" x14ac:dyDescent="0.25">
      <c r="K34" t="s">
        <v>215</v>
      </c>
      <c r="AF34" s="202"/>
    </row>
  </sheetData>
  <mergeCells count="7">
    <mergeCell ref="BA5:BB5"/>
    <mergeCell ref="A5:I5"/>
    <mergeCell ref="J5:O5"/>
    <mergeCell ref="AB5:AG5"/>
    <mergeCell ref="AU5:AV5"/>
    <mergeCell ref="AW5:AX5"/>
    <mergeCell ref="AY5:AZ5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tabColor theme="4" tint="0.39997558519241921"/>
  </sheetPr>
  <dimension ref="A1:BB39"/>
  <sheetViews>
    <sheetView zoomScale="85" zoomScaleNormal="85" workbookViewId="0">
      <pane xSplit="8" ySplit="6" topLeftCell="I7" activePane="bottomRight" state="frozen"/>
      <selection activeCell="J1" sqref="J1:K1048576"/>
      <selection pane="topRight" activeCell="J1" sqref="J1:K1048576"/>
      <selection pane="bottomLeft" activeCell="J1" sqref="J1:K1048576"/>
      <selection pane="bottomRight" activeCell="M25" sqref="M25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hidden="1" customWidth="1"/>
    <col min="12" max="13" width="10.7109375" customWidth="1"/>
    <col min="14" max="15" width="13.7109375" customWidth="1"/>
    <col min="16" max="27" width="13.7109375" hidden="1" customWidth="1"/>
    <col min="28" max="31" width="13.7109375" customWidth="1"/>
    <col min="32" max="32" width="13.7109375" style="224" customWidth="1"/>
    <col min="33" max="33" width="13.7109375" customWidth="1"/>
    <col min="34" max="42" width="13.7109375" hidden="1" customWidth="1"/>
    <col min="43" max="43" width="13.7109375" style="224" hidden="1" customWidth="1"/>
    <col min="44" max="45" width="13.7109375" hidden="1" customWidth="1"/>
    <col min="46" max="46" width="11.5703125" customWidth="1"/>
    <col min="47" max="47" width="10.7109375" customWidth="1"/>
    <col min="48" max="48" width="13.7109375" customWidth="1"/>
    <col min="49" max="49" width="10.7109375" customWidth="1"/>
    <col min="50" max="50" width="13.7109375" customWidth="1"/>
    <col min="51" max="51" width="10.7109375" customWidth="1"/>
    <col min="52" max="52" width="13.7109375" customWidth="1"/>
    <col min="53" max="53" width="10.7109375" customWidth="1"/>
    <col min="54" max="54" width="13.7109375" customWidth="1"/>
  </cols>
  <sheetData>
    <row r="1" spans="1:54" ht="15" customHeight="1" x14ac:dyDescent="0.25">
      <c r="A1" s="32" t="s">
        <v>49</v>
      </c>
    </row>
    <row r="2" spans="1:54" ht="15" customHeight="1" x14ac:dyDescent="0.25">
      <c r="A2" s="32" t="s">
        <v>50</v>
      </c>
    </row>
    <row r="3" spans="1:54" ht="15" customHeight="1" x14ac:dyDescent="0.25">
      <c r="A3" s="32" t="str">
        <f>+'208. UNCOSU'!A3</f>
        <v xml:space="preserve">EJERCICIO FISCAL 2022 - ACTUALIZADA NOVIEMBRE </v>
      </c>
    </row>
    <row r="4" spans="1:54" ht="15" customHeight="1" thickBot="1" x14ac:dyDescent="0.3"/>
    <row r="5" spans="1:54" s="94" customFormat="1" x14ac:dyDescent="0.25">
      <c r="A5" s="334" t="s">
        <v>142</v>
      </c>
      <c r="B5" s="335"/>
      <c r="C5" s="335"/>
      <c r="D5" s="335"/>
      <c r="E5" s="335"/>
      <c r="F5" s="335"/>
      <c r="G5" s="335"/>
      <c r="H5" s="335"/>
      <c r="I5" s="335"/>
      <c r="J5" s="330" t="s">
        <v>1</v>
      </c>
      <c r="K5" s="330"/>
      <c r="L5" s="330"/>
      <c r="M5" s="330"/>
      <c r="N5" s="330"/>
      <c r="O5" s="330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30" t="s">
        <v>2</v>
      </c>
      <c r="AC5" s="330"/>
      <c r="AD5" s="330"/>
      <c r="AE5" s="330"/>
      <c r="AF5" s="330"/>
      <c r="AG5" s="330"/>
      <c r="AH5" s="39"/>
      <c r="AI5" s="39"/>
      <c r="AJ5" s="39"/>
      <c r="AK5" s="39"/>
      <c r="AL5" s="39"/>
      <c r="AM5" s="39"/>
      <c r="AN5" s="39"/>
      <c r="AO5" s="39"/>
      <c r="AP5" s="39"/>
      <c r="AQ5" s="273"/>
      <c r="AR5" s="162"/>
      <c r="AS5" s="40"/>
      <c r="AT5"/>
      <c r="AU5" s="327" t="s">
        <v>51</v>
      </c>
      <c r="AV5" s="327"/>
      <c r="AW5" s="327" t="s">
        <v>52</v>
      </c>
      <c r="AX5" s="327"/>
      <c r="AY5" s="327" t="s">
        <v>53</v>
      </c>
      <c r="AZ5" s="327"/>
      <c r="BA5" s="327" t="s">
        <v>55</v>
      </c>
      <c r="BB5" s="327"/>
    </row>
    <row r="6" spans="1:54" s="111" customFormat="1" ht="36.75" thickBot="1" x14ac:dyDescent="0.3">
      <c r="A6" s="255" t="s">
        <v>3</v>
      </c>
      <c r="B6" s="246" t="s">
        <v>4</v>
      </c>
      <c r="C6" s="246" t="s">
        <v>5</v>
      </c>
      <c r="D6" s="246" t="s">
        <v>6</v>
      </c>
      <c r="E6" s="246" t="s">
        <v>7</v>
      </c>
      <c r="F6" s="246" t="s">
        <v>8</v>
      </c>
      <c r="G6" s="246" t="s">
        <v>9</v>
      </c>
      <c r="H6" s="247" t="s">
        <v>10</v>
      </c>
      <c r="I6" s="248" t="s">
        <v>11</v>
      </c>
      <c r="J6" s="249" t="s">
        <v>12</v>
      </c>
      <c r="K6" s="249" t="s">
        <v>65</v>
      </c>
      <c r="L6" s="249" t="s">
        <v>13</v>
      </c>
      <c r="M6" s="249" t="s">
        <v>14</v>
      </c>
      <c r="N6" s="250" t="s">
        <v>15</v>
      </c>
      <c r="O6" s="250" t="s">
        <v>16</v>
      </c>
      <c r="P6" s="250" t="s">
        <v>17</v>
      </c>
      <c r="Q6" s="250" t="s">
        <v>18</v>
      </c>
      <c r="R6" s="250" t="s">
        <v>19</v>
      </c>
      <c r="S6" s="250" t="s">
        <v>20</v>
      </c>
      <c r="T6" s="250" t="s">
        <v>21</v>
      </c>
      <c r="U6" s="250" t="s">
        <v>22</v>
      </c>
      <c r="V6" s="250" t="s">
        <v>23</v>
      </c>
      <c r="W6" s="250" t="s">
        <v>24</v>
      </c>
      <c r="X6" s="250" t="s">
        <v>25</v>
      </c>
      <c r="Y6" s="250" t="s">
        <v>26</v>
      </c>
      <c r="Z6" s="250" t="s">
        <v>27</v>
      </c>
      <c r="AA6" s="250" t="s">
        <v>28</v>
      </c>
      <c r="AB6" s="249" t="s">
        <v>12</v>
      </c>
      <c r="AC6" s="249" t="s">
        <v>65</v>
      </c>
      <c r="AD6" s="249" t="s">
        <v>13</v>
      </c>
      <c r="AE6" s="249" t="s">
        <v>14</v>
      </c>
      <c r="AF6" s="271" t="s">
        <v>15</v>
      </c>
      <c r="AG6" s="250" t="s">
        <v>16</v>
      </c>
      <c r="AH6" s="250" t="s">
        <v>17</v>
      </c>
      <c r="AI6" s="250" t="s">
        <v>18</v>
      </c>
      <c r="AJ6" s="250" t="s">
        <v>19</v>
      </c>
      <c r="AK6" s="250" t="s">
        <v>20</v>
      </c>
      <c r="AL6" s="250" t="s">
        <v>21</v>
      </c>
      <c r="AM6" s="250" t="s">
        <v>22</v>
      </c>
      <c r="AN6" s="250" t="s">
        <v>23</v>
      </c>
      <c r="AO6" s="250" t="s">
        <v>24</v>
      </c>
      <c r="AP6" s="250" t="s">
        <v>25</v>
      </c>
      <c r="AQ6" s="274" t="s">
        <v>26</v>
      </c>
      <c r="AR6" s="30" t="s">
        <v>27</v>
      </c>
      <c r="AS6" s="29" t="s">
        <v>28</v>
      </c>
      <c r="AT6"/>
      <c r="AU6" s="70" t="s">
        <v>54</v>
      </c>
      <c r="AV6" s="70" t="s">
        <v>2</v>
      </c>
      <c r="AW6" s="70" t="s">
        <v>54</v>
      </c>
      <c r="AX6" s="70" t="s">
        <v>2</v>
      </c>
      <c r="AY6" s="70" t="s">
        <v>54</v>
      </c>
      <c r="AZ6" s="70" t="s">
        <v>2</v>
      </c>
      <c r="BA6" s="70" t="s">
        <v>54</v>
      </c>
      <c r="BB6" s="70" t="s">
        <v>2</v>
      </c>
    </row>
    <row r="7" spans="1:54" s="94" customFormat="1" ht="45" x14ac:dyDescent="0.25">
      <c r="A7" s="4"/>
      <c r="B7" s="5">
        <v>16</v>
      </c>
      <c r="C7" s="5"/>
      <c r="D7" s="5"/>
      <c r="E7" s="5"/>
      <c r="F7" s="5"/>
      <c r="G7" s="5"/>
      <c r="H7" s="54" t="s">
        <v>143</v>
      </c>
      <c r="I7" s="211"/>
      <c r="J7" s="272"/>
      <c r="K7" s="272"/>
      <c r="L7" s="272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9"/>
      <c r="AC7" s="9"/>
      <c r="AD7" s="9"/>
      <c r="AE7" s="11"/>
      <c r="AF7" s="235"/>
      <c r="AG7" s="11"/>
      <c r="AH7" s="11"/>
      <c r="AI7" s="9"/>
      <c r="AJ7" s="9"/>
      <c r="AK7" s="9"/>
      <c r="AL7" s="9"/>
      <c r="AM7" s="9"/>
      <c r="AN7" s="9"/>
      <c r="AO7" s="9"/>
      <c r="AP7" s="9"/>
      <c r="AQ7" s="275"/>
      <c r="AR7" s="163"/>
      <c r="AS7" s="21"/>
      <c r="AT7"/>
      <c r="AU7" s="81"/>
      <c r="AV7" s="81"/>
      <c r="AW7" s="81"/>
      <c r="AX7" s="81"/>
      <c r="AY7" s="81"/>
      <c r="AZ7" s="81"/>
      <c r="BA7" s="81"/>
      <c r="BB7" s="81"/>
    </row>
    <row r="8" spans="1:54" s="94" customFormat="1" x14ac:dyDescent="0.25">
      <c r="A8" s="4"/>
      <c r="B8" s="5"/>
      <c r="C8" s="5">
        <v>0</v>
      </c>
      <c r="D8" s="5"/>
      <c r="E8" s="5"/>
      <c r="F8" s="5"/>
      <c r="G8" s="5"/>
      <c r="H8" s="54" t="s">
        <v>30</v>
      </c>
      <c r="I8" s="211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11"/>
      <c r="AC8" s="11"/>
      <c r="AD8" s="11"/>
      <c r="AE8" s="11"/>
      <c r="AF8" s="235"/>
      <c r="AG8" s="11"/>
      <c r="AH8" s="11"/>
      <c r="AI8" s="9"/>
      <c r="AJ8" s="11"/>
      <c r="AK8" s="11"/>
      <c r="AL8" s="11"/>
      <c r="AM8" s="11"/>
      <c r="AN8" s="11"/>
      <c r="AO8" s="11"/>
      <c r="AP8" s="11"/>
      <c r="AQ8" s="276"/>
      <c r="AR8" s="200"/>
      <c r="AS8" s="16"/>
      <c r="AT8"/>
      <c r="AU8" s="81"/>
      <c r="AV8" s="81"/>
      <c r="AW8" s="81"/>
      <c r="AX8" s="81"/>
      <c r="AY8" s="81"/>
      <c r="AZ8" s="81"/>
      <c r="BA8" s="81"/>
      <c r="BB8" s="81"/>
    </row>
    <row r="9" spans="1:54" s="94" customFormat="1" x14ac:dyDescent="0.25">
      <c r="A9" s="4"/>
      <c r="B9" s="5"/>
      <c r="C9" s="5"/>
      <c r="D9" s="5">
        <v>0</v>
      </c>
      <c r="E9" s="5"/>
      <c r="F9" s="5"/>
      <c r="G9" s="5"/>
      <c r="H9" s="54" t="s">
        <v>31</v>
      </c>
      <c r="I9" s="211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11"/>
      <c r="AC9" s="11"/>
      <c r="AD9" s="11"/>
      <c r="AE9" s="11"/>
      <c r="AF9" s="235"/>
      <c r="AG9" s="11"/>
      <c r="AH9" s="11"/>
      <c r="AI9" s="9"/>
      <c r="AJ9" s="11"/>
      <c r="AK9" s="11"/>
      <c r="AL9" s="11"/>
      <c r="AM9" s="11"/>
      <c r="AN9" s="11"/>
      <c r="AO9" s="11"/>
      <c r="AP9" s="11"/>
      <c r="AQ9" s="276"/>
      <c r="AR9" s="200"/>
      <c r="AS9" s="16"/>
      <c r="AT9"/>
      <c r="AU9" s="81"/>
      <c r="AV9" s="81"/>
      <c r="AW9" s="81"/>
      <c r="AX9" s="81"/>
      <c r="AY9" s="81"/>
      <c r="AZ9" s="81"/>
      <c r="BA9" s="81"/>
      <c r="BB9" s="81"/>
    </row>
    <row r="10" spans="1:54" s="94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4" t="s">
        <v>59</v>
      </c>
      <c r="I10" s="211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9">
        <v>22882930</v>
      </c>
      <c r="AC10" s="9">
        <v>15384424</v>
      </c>
      <c r="AD10" s="9">
        <v>16026104</v>
      </c>
      <c r="AE10" s="9">
        <v>14647157</v>
      </c>
      <c r="AF10" s="236">
        <v>12433308.08</v>
      </c>
      <c r="AG10" s="9">
        <f>+AQ10</f>
        <v>1119222.97</v>
      </c>
      <c r="AH10" s="11">
        <v>515063.96</v>
      </c>
      <c r="AI10" s="11">
        <v>840776.94</v>
      </c>
      <c r="AJ10" s="11">
        <v>896900.5</v>
      </c>
      <c r="AK10" s="11">
        <v>804281.94</v>
      </c>
      <c r="AL10" s="11">
        <v>1879615.64</v>
      </c>
      <c r="AM10" s="11">
        <v>479438.14</v>
      </c>
      <c r="AN10" s="11">
        <v>3029637.36</v>
      </c>
      <c r="AO10" s="11">
        <v>189660.21</v>
      </c>
      <c r="AP10" s="11">
        <v>262906.21000000002</v>
      </c>
      <c r="AQ10" s="276">
        <v>1119222.97</v>
      </c>
      <c r="AR10" s="200">
        <v>0</v>
      </c>
      <c r="AS10" s="16">
        <v>0</v>
      </c>
      <c r="AT10"/>
      <c r="AU10" s="81">
        <v>950.99999999999989</v>
      </c>
      <c r="AV10" s="81">
        <v>23111759.300000001</v>
      </c>
      <c r="AW10" s="81">
        <v>951.99999999999989</v>
      </c>
      <c r="AX10" s="81">
        <v>22882930</v>
      </c>
      <c r="AY10" s="81">
        <v>952.99999999999989</v>
      </c>
      <c r="AZ10" s="81">
        <v>22882930</v>
      </c>
      <c r="BA10" s="81">
        <v>953.99999999999989</v>
      </c>
      <c r="BB10" s="139">
        <v>22882930</v>
      </c>
    </row>
    <row r="11" spans="1:54" s="94" customFormat="1" x14ac:dyDescent="0.25">
      <c r="A11" s="4">
        <v>4</v>
      </c>
      <c r="B11" s="5"/>
      <c r="C11" s="5"/>
      <c r="D11" s="5"/>
      <c r="E11" s="5"/>
      <c r="F11" s="5"/>
      <c r="G11" s="5">
        <v>1</v>
      </c>
      <c r="H11" s="54" t="s">
        <v>60</v>
      </c>
      <c r="I11" s="254" t="s">
        <v>34</v>
      </c>
      <c r="J11" s="80">
        <f>J12</f>
        <v>949.00000000000011</v>
      </c>
      <c r="K11" s="80">
        <f>K12</f>
        <v>949</v>
      </c>
      <c r="L11" s="80">
        <f>L12</f>
        <v>949</v>
      </c>
      <c r="M11" s="80">
        <f>+M12</f>
        <v>639</v>
      </c>
      <c r="N11" s="80">
        <f>N12</f>
        <v>599</v>
      </c>
      <c r="O11" s="80">
        <f>+Z11</f>
        <v>7</v>
      </c>
      <c r="P11" s="80">
        <f t="shared" ref="P11:AA11" si="0">+P12</f>
        <v>0</v>
      </c>
      <c r="Q11" s="80">
        <f t="shared" si="0"/>
        <v>142</v>
      </c>
      <c r="R11" s="80">
        <f t="shared" si="0"/>
        <v>71</v>
      </c>
      <c r="S11" s="80">
        <f t="shared" si="0"/>
        <v>71</v>
      </c>
      <c r="T11" s="80">
        <f t="shared" si="0"/>
        <v>71</v>
      </c>
      <c r="U11" s="80">
        <f>+U12</f>
        <v>71</v>
      </c>
      <c r="V11" s="80">
        <f t="shared" si="0"/>
        <v>71</v>
      </c>
      <c r="W11" s="80">
        <f t="shared" si="0"/>
        <v>71</v>
      </c>
      <c r="X11" s="80">
        <f t="shared" si="0"/>
        <v>17</v>
      </c>
      <c r="Y11" s="80">
        <v>7</v>
      </c>
      <c r="Z11" s="80">
        <v>7</v>
      </c>
      <c r="AA11" s="80">
        <f t="shared" si="0"/>
        <v>0</v>
      </c>
      <c r="AB11" s="9"/>
      <c r="AC11" s="9"/>
      <c r="AD11" s="9"/>
      <c r="AE11" s="9"/>
      <c r="AF11" s="236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275"/>
      <c r="AR11" s="164"/>
      <c r="AS11" s="10"/>
      <c r="AT11"/>
      <c r="AU11" s="81"/>
      <c r="AV11" s="81"/>
      <c r="AW11" s="81"/>
      <c r="AX11" s="81"/>
      <c r="AY11" s="81"/>
      <c r="AZ11" s="81"/>
      <c r="BA11" s="81"/>
      <c r="BB11" s="81"/>
    </row>
    <row r="12" spans="1:54" s="94" customFormat="1" x14ac:dyDescent="0.25">
      <c r="A12" s="61"/>
      <c r="B12" s="6"/>
      <c r="C12" s="6"/>
      <c r="D12" s="6"/>
      <c r="E12" s="6"/>
      <c r="F12" s="6"/>
      <c r="G12" s="6">
        <v>2</v>
      </c>
      <c r="H12" s="114" t="s">
        <v>60</v>
      </c>
      <c r="I12" s="211" t="s">
        <v>34</v>
      </c>
      <c r="J12" s="88">
        <v>949.00000000000011</v>
      </c>
      <c r="K12" s="88">
        <v>949</v>
      </c>
      <c r="L12" s="88">
        <v>949</v>
      </c>
      <c r="M12" s="88">
        <v>639</v>
      </c>
      <c r="N12" s="6">
        <f>+SUM(P12:AA12)</f>
        <v>599</v>
      </c>
      <c r="O12" s="80">
        <f>+Z12</f>
        <v>7</v>
      </c>
      <c r="P12" s="6">
        <v>0</v>
      </c>
      <c r="Q12" s="6">
        <v>142</v>
      </c>
      <c r="R12" s="6">
        <v>71</v>
      </c>
      <c r="S12" s="6">
        <v>71</v>
      </c>
      <c r="T12" s="6">
        <v>71</v>
      </c>
      <c r="U12" s="6">
        <v>71</v>
      </c>
      <c r="V12" s="6">
        <v>71</v>
      </c>
      <c r="W12" s="6">
        <v>71</v>
      </c>
      <c r="X12" s="6">
        <v>17</v>
      </c>
      <c r="Y12" s="6">
        <v>7</v>
      </c>
      <c r="Z12" s="6">
        <v>7</v>
      </c>
      <c r="AA12" s="6">
        <v>0</v>
      </c>
      <c r="AB12" s="9"/>
      <c r="AC12" s="9"/>
      <c r="AD12" s="9"/>
      <c r="AE12" s="9"/>
      <c r="AF12" s="236"/>
      <c r="AG12" s="9"/>
      <c r="AH12" s="9"/>
      <c r="AI12" s="9"/>
      <c r="AJ12" s="9"/>
      <c r="AK12" s="11"/>
      <c r="AL12" s="9"/>
      <c r="AM12" s="11"/>
      <c r="AN12" s="11"/>
      <c r="AO12" s="11"/>
      <c r="AP12" s="11"/>
      <c r="AQ12" s="276"/>
      <c r="AR12" s="200"/>
      <c r="AS12" s="16"/>
      <c r="AT12"/>
      <c r="AU12" s="81"/>
      <c r="AV12" s="81"/>
      <c r="AW12" s="81"/>
      <c r="AX12" s="81"/>
      <c r="AY12" s="81"/>
      <c r="AZ12" s="81"/>
      <c r="BA12" s="81"/>
      <c r="BB12" s="81"/>
    </row>
    <row r="13" spans="1:54" s="94" customFormat="1" ht="30" x14ac:dyDescent="0.25">
      <c r="A13" s="4"/>
      <c r="B13" s="5"/>
      <c r="C13" s="5"/>
      <c r="D13" s="5"/>
      <c r="E13" s="5">
        <v>2</v>
      </c>
      <c r="F13" s="5">
        <v>0</v>
      </c>
      <c r="G13" s="5"/>
      <c r="H13" s="54" t="s">
        <v>144</v>
      </c>
      <c r="I13" s="254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9">
        <v>32612541</v>
      </c>
      <c r="AC13" s="9">
        <v>16678910</v>
      </c>
      <c r="AD13" s="9">
        <v>16678910</v>
      </c>
      <c r="AE13" s="9">
        <v>11829203</v>
      </c>
      <c r="AF13" s="236">
        <v>10201059.83</v>
      </c>
      <c r="AG13" s="9">
        <f>+AQ13</f>
        <v>945575.66</v>
      </c>
      <c r="AH13" s="11">
        <v>709343.82</v>
      </c>
      <c r="AI13" s="11">
        <v>713451.44</v>
      </c>
      <c r="AJ13" s="11">
        <v>763864.69</v>
      </c>
      <c r="AK13" s="11">
        <v>743680.77</v>
      </c>
      <c r="AL13" s="11">
        <v>1141769.57</v>
      </c>
      <c r="AM13" s="11">
        <v>352429.5</v>
      </c>
      <c r="AN13" s="11">
        <v>712668.23</v>
      </c>
      <c r="AO13" s="11">
        <v>56446.02</v>
      </c>
      <c r="AP13" s="11">
        <v>92153.24</v>
      </c>
      <c r="AQ13" s="276">
        <v>945575.66</v>
      </c>
      <c r="AR13" s="200">
        <v>0</v>
      </c>
      <c r="AS13" s="16">
        <v>0</v>
      </c>
      <c r="AT13"/>
      <c r="AU13" s="81">
        <v>16535</v>
      </c>
      <c r="AV13" s="81">
        <v>32938666.41</v>
      </c>
      <c r="AW13" s="81">
        <v>16535</v>
      </c>
      <c r="AX13" s="81">
        <v>33268053.074099984</v>
      </c>
      <c r="AY13" s="81">
        <v>16535</v>
      </c>
      <c r="AZ13" s="81">
        <v>33600733.604840994</v>
      </c>
      <c r="BA13" s="81">
        <v>16535</v>
      </c>
      <c r="BB13" s="139">
        <v>33936740.940889403</v>
      </c>
    </row>
    <row r="14" spans="1:54" s="94" customFormat="1" x14ac:dyDescent="0.25">
      <c r="A14" s="4">
        <v>4</v>
      </c>
      <c r="B14" s="6"/>
      <c r="C14" s="6"/>
      <c r="D14" s="6"/>
      <c r="E14" s="6"/>
      <c r="F14" s="6"/>
      <c r="G14" s="6">
        <v>1</v>
      </c>
      <c r="H14" s="54" t="s">
        <v>145</v>
      </c>
      <c r="I14" s="254" t="s">
        <v>64</v>
      </c>
      <c r="J14" s="80">
        <f>J15+J16</f>
        <v>16412</v>
      </c>
      <c r="K14" s="80">
        <f>K15+K16</f>
        <v>16295</v>
      </c>
      <c r="L14" s="80">
        <f>L15+L16</f>
        <v>16315</v>
      </c>
      <c r="M14" s="80">
        <v>15878</v>
      </c>
      <c r="N14" s="80">
        <f>12830+O14</f>
        <v>14048</v>
      </c>
      <c r="O14" s="80">
        <f>+Z14</f>
        <v>1218</v>
      </c>
      <c r="P14" s="80">
        <f t="shared" ref="P14:AA14" si="1">+P15+P16</f>
        <v>0</v>
      </c>
      <c r="Q14" s="80">
        <f t="shared" si="1"/>
        <v>2677</v>
      </c>
      <c r="R14" s="80">
        <f>+R15+R16</f>
        <v>1349</v>
      </c>
      <c r="S14" s="80">
        <f t="shared" si="1"/>
        <v>1281</v>
      </c>
      <c r="T14" s="80">
        <f t="shared" si="1"/>
        <v>1354</v>
      </c>
      <c r="U14" s="80">
        <v>923</v>
      </c>
      <c r="V14" s="80">
        <f>+O14</f>
        <v>1218</v>
      </c>
      <c r="W14" s="80">
        <v>1305</v>
      </c>
      <c r="X14" s="80">
        <v>1362</v>
      </c>
      <c r="Y14" s="80">
        <v>1253</v>
      </c>
      <c r="Z14" s="80">
        <v>1218</v>
      </c>
      <c r="AA14" s="80">
        <f t="shared" si="1"/>
        <v>0</v>
      </c>
      <c r="AB14" s="9"/>
      <c r="AC14" s="9"/>
      <c r="AD14" s="9"/>
      <c r="AE14" s="9"/>
      <c r="AF14" s="236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275"/>
      <c r="AR14" s="164"/>
      <c r="AS14" s="10"/>
      <c r="AT14"/>
      <c r="AU14" s="81"/>
      <c r="AV14" s="81"/>
      <c r="AW14" s="81"/>
      <c r="AX14" s="81"/>
      <c r="AY14" s="81"/>
      <c r="AZ14" s="81"/>
      <c r="BA14" s="81"/>
      <c r="BB14" s="81"/>
    </row>
    <row r="15" spans="1:54" s="94" customFormat="1" x14ac:dyDescent="0.25">
      <c r="A15" s="61"/>
      <c r="B15" s="6"/>
      <c r="C15" s="6"/>
      <c r="D15" s="6"/>
      <c r="E15" s="6"/>
      <c r="F15" s="6"/>
      <c r="G15" s="6">
        <v>2</v>
      </c>
      <c r="H15" s="114" t="s">
        <v>146</v>
      </c>
      <c r="I15" s="211" t="s">
        <v>64</v>
      </c>
      <c r="J15" s="88">
        <v>12957</v>
      </c>
      <c r="K15" s="88">
        <v>12926</v>
      </c>
      <c r="L15" s="88">
        <v>12926</v>
      </c>
      <c r="M15" s="88">
        <v>12541</v>
      </c>
      <c r="N15" s="88">
        <f>SUM(P15:AA15)</f>
        <v>11065</v>
      </c>
      <c r="O15" s="80">
        <f>+Z15</f>
        <v>887</v>
      </c>
      <c r="P15" s="6">
        <v>0</v>
      </c>
      <c r="Q15" s="6">
        <v>2118</v>
      </c>
      <c r="R15" s="6">
        <v>1069</v>
      </c>
      <c r="S15" s="6">
        <v>1003</v>
      </c>
      <c r="T15" s="6">
        <v>1072</v>
      </c>
      <c r="U15" s="6">
        <v>910</v>
      </c>
      <c r="V15" s="6">
        <v>1046</v>
      </c>
      <c r="W15" s="6">
        <v>1026</v>
      </c>
      <c r="X15" s="6">
        <v>1022</v>
      </c>
      <c r="Y15" s="6">
        <v>912</v>
      </c>
      <c r="Z15" s="6">
        <v>887</v>
      </c>
      <c r="AA15" s="6">
        <v>0</v>
      </c>
      <c r="AB15" s="9"/>
      <c r="AC15" s="9"/>
      <c r="AD15" s="9"/>
      <c r="AE15" s="9"/>
      <c r="AF15" s="236"/>
      <c r="AG15" s="9"/>
      <c r="AH15" s="9"/>
      <c r="AI15" s="9"/>
      <c r="AJ15" s="9"/>
      <c r="AK15" s="11"/>
      <c r="AL15" s="9"/>
      <c r="AM15" s="11"/>
      <c r="AN15" s="11"/>
      <c r="AO15" s="11">
        <v>22771.41</v>
      </c>
      <c r="AP15" s="11"/>
      <c r="AQ15" s="276"/>
      <c r="AR15" s="200"/>
      <c r="AS15" s="16"/>
      <c r="AT15"/>
      <c r="AU15" s="140"/>
      <c r="AV15" s="140"/>
      <c r="AW15" s="140"/>
      <c r="AX15" s="140"/>
      <c r="AY15" s="140"/>
      <c r="AZ15" s="140"/>
      <c r="BA15" s="140"/>
      <c r="BB15" s="140"/>
    </row>
    <row r="16" spans="1:54" s="94" customFormat="1" x14ac:dyDescent="0.25">
      <c r="A16" s="61"/>
      <c r="B16" s="6"/>
      <c r="C16" s="6"/>
      <c r="D16" s="6"/>
      <c r="E16" s="6"/>
      <c r="F16" s="6"/>
      <c r="G16" s="6">
        <v>3</v>
      </c>
      <c r="H16" s="114" t="s">
        <v>147</v>
      </c>
      <c r="I16" s="211" t="s">
        <v>64</v>
      </c>
      <c r="J16" s="88">
        <v>3454.9999999999995</v>
      </c>
      <c r="K16" s="88">
        <v>3369</v>
      </c>
      <c r="L16" s="88">
        <v>3389</v>
      </c>
      <c r="M16" s="88">
        <v>3337</v>
      </c>
      <c r="N16" s="88">
        <f>SUM(P16:AA16)</f>
        <v>2983</v>
      </c>
      <c r="O16" s="80">
        <f>+Z16</f>
        <v>331</v>
      </c>
      <c r="P16" s="6">
        <v>0</v>
      </c>
      <c r="Q16" s="6">
        <v>559</v>
      </c>
      <c r="R16" s="6">
        <v>280</v>
      </c>
      <c r="S16" s="6">
        <v>278</v>
      </c>
      <c r="T16" s="6">
        <v>282</v>
      </c>
      <c r="U16" s="6">
        <v>13</v>
      </c>
      <c r="V16" s="6">
        <v>280</v>
      </c>
      <c r="W16" s="6">
        <v>279</v>
      </c>
      <c r="X16" s="6">
        <v>340</v>
      </c>
      <c r="Y16" s="6">
        <v>341</v>
      </c>
      <c r="Z16" s="6">
        <v>331</v>
      </c>
      <c r="AA16" s="6">
        <v>0</v>
      </c>
      <c r="AB16" s="9"/>
      <c r="AC16" s="9"/>
      <c r="AD16" s="9"/>
      <c r="AE16" s="9"/>
      <c r="AF16" s="236"/>
      <c r="AG16" s="9"/>
      <c r="AH16" s="9"/>
      <c r="AI16" s="9"/>
      <c r="AJ16" s="9"/>
      <c r="AK16" s="11"/>
      <c r="AL16" s="9"/>
      <c r="AM16" s="11"/>
      <c r="AN16" s="11"/>
      <c r="AO16" s="11">
        <v>33674.61</v>
      </c>
      <c r="AP16" s="11"/>
      <c r="AQ16" s="276"/>
      <c r="AR16" s="200"/>
      <c r="AS16" s="16"/>
      <c r="AT16"/>
      <c r="AU16" s="81"/>
      <c r="AV16" s="81"/>
      <c r="AW16" s="81"/>
      <c r="AX16" s="81"/>
      <c r="AY16" s="81"/>
      <c r="AZ16" s="81"/>
      <c r="BA16" s="81"/>
      <c r="BB16" s="81"/>
    </row>
    <row r="17" spans="1:54" s="94" customFormat="1" ht="30" x14ac:dyDescent="0.25">
      <c r="A17" s="4"/>
      <c r="B17" s="5"/>
      <c r="C17" s="5"/>
      <c r="D17" s="5"/>
      <c r="E17" s="5">
        <v>3</v>
      </c>
      <c r="F17" s="5">
        <v>0</v>
      </c>
      <c r="G17" s="5"/>
      <c r="H17" s="54" t="s">
        <v>148</v>
      </c>
      <c r="I17" s="254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9">
        <v>19878286</v>
      </c>
      <c r="AC17" s="9">
        <v>3442667</v>
      </c>
      <c r="AD17" s="9">
        <v>3442667</v>
      </c>
      <c r="AE17" s="9">
        <v>3280579</v>
      </c>
      <c r="AF17" s="236">
        <v>2899869.07</v>
      </c>
      <c r="AG17" s="9">
        <f>+AQ17</f>
        <v>270069.5</v>
      </c>
      <c r="AH17" s="11">
        <v>207451.27</v>
      </c>
      <c r="AI17" s="11">
        <v>252944.99</v>
      </c>
      <c r="AJ17" s="11">
        <v>255696.81</v>
      </c>
      <c r="AK17" s="11">
        <v>240369.8</v>
      </c>
      <c r="AL17" s="11">
        <v>262841.78999999998</v>
      </c>
      <c r="AM17" s="11">
        <v>41398</v>
      </c>
      <c r="AN17" s="11">
        <v>118502.75</v>
      </c>
      <c r="AO17" s="11">
        <v>12226.45</v>
      </c>
      <c r="AP17" s="11">
        <v>36295.879999999997</v>
      </c>
      <c r="AQ17" s="276">
        <v>270069.5</v>
      </c>
      <c r="AR17" s="200">
        <v>0</v>
      </c>
      <c r="AS17" s="16">
        <v>0</v>
      </c>
      <c r="AT17"/>
      <c r="AU17" s="81">
        <v>8137</v>
      </c>
      <c r="AV17" s="81">
        <v>20077068.859999999</v>
      </c>
      <c r="AW17" s="81">
        <v>8137</v>
      </c>
      <c r="AX17" s="81">
        <v>20077068.859999988</v>
      </c>
      <c r="AY17" s="81">
        <v>8137</v>
      </c>
      <c r="AZ17" s="81">
        <v>20277839.548599999</v>
      </c>
      <c r="BA17" s="81">
        <v>8137</v>
      </c>
      <c r="BB17" s="81">
        <v>20277839.548599988</v>
      </c>
    </row>
    <row r="18" spans="1:54" s="94" customFormat="1" ht="30" x14ac:dyDescent="0.25">
      <c r="A18" s="4">
        <v>4</v>
      </c>
      <c r="B18" s="6"/>
      <c r="C18" s="6"/>
      <c r="D18" s="6"/>
      <c r="E18" s="6"/>
      <c r="F18" s="6"/>
      <c r="G18" s="6">
        <v>1</v>
      </c>
      <c r="H18" s="54" t="s">
        <v>149</v>
      </c>
      <c r="I18" s="254" t="s">
        <v>64</v>
      </c>
      <c r="J18" s="80">
        <f>J19+J20</f>
        <v>8099.9999999999991</v>
      </c>
      <c r="K18" s="80">
        <f>K19+K20</f>
        <v>8100</v>
      </c>
      <c r="L18" s="80">
        <f>L19+L20</f>
        <v>8100</v>
      </c>
      <c r="M18" s="80">
        <v>7991</v>
      </c>
      <c r="N18" s="80">
        <f>N19+N20</f>
        <v>7323</v>
      </c>
      <c r="O18" s="80">
        <f t="shared" ref="O18:O20" si="2">+Z18</f>
        <v>662</v>
      </c>
      <c r="P18" s="80">
        <f t="shared" ref="P18:AA18" si="3">+P19+P20</f>
        <v>0</v>
      </c>
      <c r="Q18" s="80">
        <f t="shared" si="3"/>
        <v>1334</v>
      </c>
      <c r="R18" s="80">
        <f>+R19+R20</f>
        <v>667</v>
      </c>
      <c r="S18" s="80">
        <f t="shared" si="3"/>
        <v>666</v>
      </c>
      <c r="T18" s="80">
        <f t="shared" si="3"/>
        <v>667</v>
      </c>
      <c r="U18" s="80">
        <v>667</v>
      </c>
      <c r="V18" s="80">
        <f t="shared" si="3"/>
        <v>667</v>
      </c>
      <c r="W18" s="80">
        <v>667</v>
      </c>
      <c r="X18" s="80">
        <v>663</v>
      </c>
      <c r="Y18" s="80">
        <v>663</v>
      </c>
      <c r="Z18" s="80">
        <v>662</v>
      </c>
      <c r="AA18" s="80">
        <f t="shared" si="3"/>
        <v>0</v>
      </c>
      <c r="AB18" s="9"/>
      <c r="AC18" s="9"/>
      <c r="AD18" s="9"/>
      <c r="AE18" s="9"/>
      <c r="AF18" s="236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275"/>
      <c r="AR18" s="164"/>
      <c r="AS18" s="10"/>
      <c r="AT18"/>
      <c r="AU18" s="81"/>
      <c r="AV18" s="81"/>
      <c r="AW18" s="81"/>
      <c r="AX18" s="81"/>
      <c r="AY18" s="81"/>
      <c r="AZ18" s="81"/>
      <c r="BA18" s="81"/>
      <c r="BB18" s="81"/>
    </row>
    <row r="19" spans="1:54" s="94" customFormat="1" x14ac:dyDescent="0.25">
      <c r="A19" s="61"/>
      <c r="B19" s="6"/>
      <c r="C19" s="6"/>
      <c r="D19" s="6"/>
      <c r="E19" s="6"/>
      <c r="F19" s="6"/>
      <c r="G19" s="6">
        <v>2</v>
      </c>
      <c r="H19" s="114" t="s">
        <v>150</v>
      </c>
      <c r="I19" s="211" t="s">
        <v>64</v>
      </c>
      <c r="J19" s="88">
        <v>7703.9999999999991</v>
      </c>
      <c r="K19" s="88">
        <v>7704</v>
      </c>
      <c r="L19" s="88">
        <v>7704</v>
      </c>
      <c r="M19" s="88">
        <v>7603</v>
      </c>
      <c r="N19" s="6">
        <f>+SUM(P19:AA19)</f>
        <v>6968</v>
      </c>
      <c r="O19" s="80">
        <f t="shared" si="2"/>
        <v>632</v>
      </c>
      <c r="P19" s="6">
        <v>0</v>
      </c>
      <c r="Q19" s="6">
        <v>1268</v>
      </c>
      <c r="R19" s="6">
        <v>634</v>
      </c>
      <c r="S19" s="6">
        <v>634</v>
      </c>
      <c r="T19" s="6">
        <v>634</v>
      </c>
      <c r="U19" s="6">
        <v>634</v>
      </c>
      <c r="V19" s="6">
        <v>634</v>
      </c>
      <c r="W19" s="6">
        <v>634</v>
      </c>
      <c r="X19" s="6">
        <v>632</v>
      </c>
      <c r="Y19" s="6">
        <v>632</v>
      </c>
      <c r="Z19" s="6">
        <v>632</v>
      </c>
      <c r="AA19" s="6">
        <v>0</v>
      </c>
      <c r="AB19" s="9"/>
      <c r="AC19" s="9"/>
      <c r="AD19" s="9"/>
      <c r="AE19" s="9"/>
      <c r="AF19" s="236"/>
      <c r="AG19" s="9"/>
      <c r="AH19" s="9"/>
      <c r="AI19" s="9"/>
      <c r="AJ19" s="9"/>
      <c r="AK19" s="11"/>
      <c r="AL19" s="9"/>
      <c r="AM19" s="11"/>
      <c r="AN19" s="11"/>
      <c r="AO19" s="11"/>
      <c r="AP19" s="11"/>
      <c r="AQ19" s="276"/>
      <c r="AR19" s="200"/>
      <c r="AS19" s="16"/>
      <c r="AT19"/>
      <c r="AU19" s="81"/>
      <c r="AV19" s="81"/>
      <c r="AW19" s="81"/>
      <c r="AX19" s="81"/>
      <c r="AY19" s="81"/>
      <c r="AZ19" s="81"/>
      <c r="BA19" s="81"/>
      <c r="BB19" s="81"/>
    </row>
    <row r="20" spans="1:54" s="94" customFormat="1" x14ac:dyDescent="0.25">
      <c r="A20" s="61"/>
      <c r="B20" s="6"/>
      <c r="C20" s="6"/>
      <c r="D20" s="6"/>
      <c r="E20" s="6"/>
      <c r="F20" s="6"/>
      <c r="G20" s="6">
        <v>3</v>
      </c>
      <c r="H20" s="114" t="s">
        <v>151</v>
      </c>
      <c r="I20" s="211" t="s">
        <v>64</v>
      </c>
      <c r="J20" s="88">
        <v>395.99999999999994</v>
      </c>
      <c r="K20" s="88">
        <v>396</v>
      </c>
      <c r="L20" s="88">
        <v>396</v>
      </c>
      <c r="M20" s="88">
        <v>388</v>
      </c>
      <c r="N20" s="6">
        <f>+SUM(P20:AA20)</f>
        <v>355</v>
      </c>
      <c r="O20" s="80">
        <f t="shared" si="2"/>
        <v>30</v>
      </c>
      <c r="P20" s="6">
        <v>0</v>
      </c>
      <c r="Q20" s="6">
        <v>66</v>
      </c>
      <c r="R20" s="6">
        <v>33</v>
      </c>
      <c r="S20" s="6">
        <v>32</v>
      </c>
      <c r="T20" s="6">
        <v>33</v>
      </c>
      <c r="U20" s="6">
        <v>33</v>
      </c>
      <c r="V20" s="6">
        <v>33</v>
      </c>
      <c r="W20" s="6">
        <v>33</v>
      </c>
      <c r="X20" s="6">
        <v>31</v>
      </c>
      <c r="Y20" s="6">
        <v>31</v>
      </c>
      <c r="Z20" s="6">
        <v>30</v>
      </c>
      <c r="AA20" s="6">
        <v>0</v>
      </c>
      <c r="AB20" s="9"/>
      <c r="AC20" s="9"/>
      <c r="AD20" s="9"/>
      <c r="AE20" s="9"/>
      <c r="AF20" s="236"/>
      <c r="AG20" s="9"/>
      <c r="AH20" s="9"/>
      <c r="AI20" s="9"/>
      <c r="AJ20" s="9"/>
      <c r="AK20" s="11"/>
      <c r="AL20" s="9"/>
      <c r="AM20" s="11"/>
      <c r="AN20" s="11"/>
      <c r="AO20" s="11"/>
      <c r="AP20" s="11"/>
      <c r="AQ20" s="276"/>
      <c r="AR20" s="200"/>
      <c r="AS20" s="16"/>
      <c r="AT20"/>
      <c r="AU20" s="140"/>
      <c r="AV20" s="140"/>
      <c r="AW20" s="141"/>
      <c r="AX20" s="142"/>
      <c r="AY20" s="141"/>
      <c r="AZ20" s="140"/>
      <c r="BA20" s="141"/>
      <c r="BB20" s="140"/>
    </row>
    <row r="21" spans="1:54" s="94" customFormat="1" ht="30" x14ac:dyDescent="0.25">
      <c r="A21" s="61"/>
      <c r="B21" s="6"/>
      <c r="C21" s="6"/>
      <c r="D21" s="6"/>
      <c r="E21" s="5">
        <v>4</v>
      </c>
      <c r="F21" s="5">
        <v>0</v>
      </c>
      <c r="G21" s="6"/>
      <c r="H21" s="54" t="s">
        <v>152</v>
      </c>
      <c r="I21" s="211"/>
      <c r="J21" s="6"/>
      <c r="K21" s="6"/>
      <c r="L21" s="6"/>
      <c r="M21" s="6"/>
      <c r="N21" s="6"/>
      <c r="O21" s="5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9">
        <v>25577517.549999997</v>
      </c>
      <c r="AC21" s="9">
        <v>13474319</v>
      </c>
      <c r="AD21" s="9">
        <v>13474319</v>
      </c>
      <c r="AE21" s="9">
        <v>9979738</v>
      </c>
      <c r="AF21" s="236">
        <v>6065293.4500000002</v>
      </c>
      <c r="AG21" s="9">
        <f>+AQ21</f>
        <v>532986.22</v>
      </c>
      <c r="AH21" s="11">
        <v>372645.79</v>
      </c>
      <c r="AI21" s="11">
        <v>437272.35</v>
      </c>
      <c r="AJ21" s="11">
        <v>521122.09</v>
      </c>
      <c r="AK21" s="11">
        <v>421924.54</v>
      </c>
      <c r="AL21" s="11">
        <v>533356.59</v>
      </c>
      <c r="AM21" s="11">
        <v>155836.76</v>
      </c>
      <c r="AN21" s="11">
        <v>413041.83</v>
      </c>
      <c r="AO21" s="11">
        <v>45018.79</v>
      </c>
      <c r="AP21" s="11">
        <v>367349.88</v>
      </c>
      <c r="AQ21" s="276">
        <v>532986.22</v>
      </c>
      <c r="AR21" s="200">
        <v>0</v>
      </c>
      <c r="AS21" s="16">
        <v>0</v>
      </c>
      <c r="AT21"/>
      <c r="AU21" s="81">
        <v>9527</v>
      </c>
      <c r="AV21" s="81">
        <v>25833292.725500003</v>
      </c>
      <c r="AW21" s="81">
        <v>9527</v>
      </c>
      <c r="AX21" s="81">
        <v>25833292.72550001</v>
      </c>
      <c r="AY21" s="81">
        <v>9527</v>
      </c>
      <c r="AZ21" s="81">
        <v>26091625.652755003</v>
      </c>
      <c r="BA21" s="81">
        <v>9527</v>
      </c>
      <c r="BB21" s="81">
        <v>26091625.652755011</v>
      </c>
    </row>
    <row r="22" spans="1:54" s="94" customFormat="1" x14ac:dyDescent="0.25">
      <c r="A22" s="4">
        <v>4</v>
      </c>
      <c r="B22" s="6"/>
      <c r="C22" s="6"/>
      <c r="D22" s="6"/>
      <c r="E22" s="6"/>
      <c r="F22" s="6"/>
      <c r="G22" s="6">
        <v>1</v>
      </c>
      <c r="H22" s="54" t="s">
        <v>153</v>
      </c>
      <c r="I22" s="254" t="s">
        <v>64</v>
      </c>
      <c r="J22" s="80">
        <f>SUM(J23:J25)</f>
        <v>9612</v>
      </c>
      <c r="K22" s="80">
        <f>SUM(K23:K25)</f>
        <v>9508</v>
      </c>
      <c r="L22" s="80">
        <f>SUM(L23:L25)</f>
        <v>9508</v>
      </c>
      <c r="M22" s="80">
        <v>8954</v>
      </c>
      <c r="N22" s="80">
        <f>SUM(N23:N25)</f>
        <v>7852</v>
      </c>
      <c r="O22" s="80">
        <f t="shared" ref="O22:O25" si="4">+Z22</f>
        <v>614</v>
      </c>
      <c r="P22" s="80">
        <f t="shared" ref="P22:AA22" si="5">+P23+P24+P25</f>
        <v>0</v>
      </c>
      <c r="Q22" s="80">
        <f t="shared" si="5"/>
        <v>1485</v>
      </c>
      <c r="R22" s="80">
        <f>+R23+R24+R25</f>
        <v>752</v>
      </c>
      <c r="S22" s="80">
        <f t="shared" si="5"/>
        <v>753</v>
      </c>
      <c r="T22" s="80">
        <f t="shared" si="5"/>
        <v>747</v>
      </c>
      <c r="U22" s="80">
        <v>746</v>
      </c>
      <c r="V22" s="80">
        <v>748</v>
      </c>
      <c r="W22" s="80">
        <f t="shared" si="5"/>
        <v>746</v>
      </c>
      <c r="X22" s="80">
        <v>716</v>
      </c>
      <c r="Y22" s="80">
        <v>545</v>
      </c>
      <c r="Z22" s="80">
        <v>614</v>
      </c>
      <c r="AA22" s="80">
        <f t="shared" si="5"/>
        <v>0</v>
      </c>
      <c r="AB22" s="9"/>
      <c r="AC22" s="9"/>
      <c r="AD22" s="9"/>
      <c r="AE22" s="9"/>
      <c r="AF22" s="236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275"/>
      <c r="AR22" s="164"/>
      <c r="AS22" s="10"/>
      <c r="AT22"/>
      <c r="AU22" s="81"/>
      <c r="AV22" s="81"/>
      <c r="AW22" s="81"/>
      <c r="AX22" s="81"/>
      <c r="AY22" s="81"/>
      <c r="AZ22" s="81"/>
      <c r="BA22" s="81"/>
      <c r="BB22" s="81"/>
    </row>
    <row r="23" spans="1:54" s="94" customFormat="1" x14ac:dyDescent="0.25">
      <c r="A23" s="61"/>
      <c r="B23" s="6"/>
      <c r="C23" s="6"/>
      <c r="D23" s="6"/>
      <c r="E23" s="6"/>
      <c r="F23" s="6"/>
      <c r="G23" s="6">
        <v>2</v>
      </c>
      <c r="H23" s="114" t="s">
        <v>154</v>
      </c>
      <c r="I23" s="211" t="s">
        <v>64</v>
      </c>
      <c r="J23" s="88">
        <v>3416</v>
      </c>
      <c r="K23" s="88">
        <v>3265</v>
      </c>
      <c r="L23" s="88">
        <v>3265</v>
      </c>
      <c r="M23" s="88">
        <v>2991</v>
      </c>
      <c r="N23" s="6">
        <f>+SUM(P23:AA23)</f>
        <v>2608</v>
      </c>
      <c r="O23" s="80">
        <f t="shared" si="4"/>
        <v>177</v>
      </c>
      <c r="P23" s="6">
        <v>0</v>
      </c>
      <c r="Q23" s="6">
        <v>497</v>
      </c>
      <c r="R23" s="6">
        <v>254</v>
      </c>
      <c r="S23" s="6">
        <v>255</v>
      </c>
      <c r="T23" s="6">
        <v>262</v>
      </c>
      <c r="U23" s="6">
        <v>261</v>
      </c>
      <c r="V23" s="6">
        <v>263</v>
      </c>
      <c r="W23" s="6">
        <v>262</v>
      </c>
      <c r="X23" s="6">
        <v>223</v>
      </c>
      <c r="Y23" s="6">
        <v>154</v>
      </c>
      <c r="Z23" s="6">
        <v>177</v>
      </c>
      <c r="AA23" s="6">
        <v>0</v>
      </c>
      <c r="AB23" s="11"/>
      <c r="AC23" s="11"/>
      <c r="AD23" s="11"/>
      <c r="AE23" s="11"/>
      <c r="AF23" s="235"/>
      <c r="AG23" s="9"/>
      <c r="AH23" s="11"/>
      <c r="AI23" s="11"/>
      <c r="AJ23" s="11"/>
      <c r="AK23" s="11"/>
      <c r="AL23" s="11"/>
      <c r="AM23" s="11"/>
      <c r="AN23" s="11"/>
      <c r="AO23" s="11">
        <v>3210.16</v>
      </c>
      <c r="AP23" s="11"/>
      <c r="AQ23" s="276"/>
      <c r="AR23" s="200"/>
      <c r="AS23" s="16"/>
      <c r="AT23"/>
      <c r="AU23" s="81"/>
      <c r="AV23" s="81"/>
      <c r="AW23" s="81"/>
      <c r="AX23" s="81"/>
      <c r="AY23" s="81"/>
      <c r="AZ23" s="81"/>
      <c r="BA23" s="81"/>
      <c r="BB23" s="81"/>
    </row>
    <row r="24" spans="1:54" s="94" customFormat="1" ht="40.5" x14ac:dyDescent="0.25">
      <c r="A24" s="61"/>
      <c r="B24" s="6"/>
      <c r="C24" s="6"/>
      <c r="D24" s="6"/>
      <c r="E24" s="6"/>
      <c r="F24" s="6"/>
      <c r="G24" s="6">
        <v>3</v>
      </c>
      <c r="H24" s="114" t="s">
        <v>155</v>
      </c>
      <c r="I24" s="211" t="s">
        <v>64</v>
      </c>
      <c r="J24" s="88">
        <v>2985</v>
      </c>
      <c r="K24" s="88">
        <v>2985</v>
      </c>
      <c r="L24" s="88">
        <v>2985</v>
      </c>
      <c r="M24" s="88">
        <v>2740</v>
      </c>
      <c r="N24" s="6">
        <f>+SUM(P24:AA24)</f>
        <v>2333</v>
      </c>
      <c r="O24" s="80">
        <f t="shared" si="4"/>
        <v>211</v>
      </c>
      <c r="P24" s="6">
        <v>0</v>
      </c>
      <c r="Q24" s="6">
        <v>446</v>
      </c>
      <c r="R24" s="6">
        <v>225</v>
      </c>
      <c r="S24" s="6">
        <v>225</v>
      </c>
      <c r="T24" s="6">
        <v>211</v>
      </c>
      <c r="U24" s="6">
        <v>211</v>
      </c>
      <c r="V24" s="6">
        <v>211</v>
      </c>
      <c r="W24" s="6">
        <v>210</v>
      </c>
      <c r="X24" s="6">
        <v>237</v>
      </c>
      <c r="Y24" s="6">
        <v>146</v>
      </c>
      <c r="Z24" s="6">
        <v>211</v>
      </c>
      <c r="AA24" s="6">
        <v>0</v>
      </c>
      <c r="AB24" s="11"/>
      <c r="AC24" s="11"/>
      <c r="AD24" s="11"/>
      <c r="AE24" s="11"/>
      <c r="AF24" s="235"/>
      <c r="AG24" s="9"/>
      <c r="AH24" s="11"/>
      <c r="AI24" s="11"/>
      <c r="AJ24" s="11"/>
      <c r="AK24" s="11"/>
      <c r="AL24" s="11"/>
      <c r="AM24" s="11"/>
      <c r="AN24" s="11"/>
      <c r="AO24" s="11">
        <v>35071</v>
      </c>
      <c r="AP24" s="11"/>
      <c r="AQ24" s="276"/>
      <c r="AR24" s="200"/>
      <c r="AS24" s="16"/>
      <c r="AT24"/>
      <c r="AU24" s="81"/>
      <c r="AV24" s="81"/>
      <c r="AW24" s="81"/>
      <c r="AX24" s="81"/>
      <c r="AY24" s="81"/>
      <c r="AZ24" s="81"/>
      <c r="BA24" s="81"/>
      <c r="BB24" s="81"/>
    </row>
    <row r="25" spans="1:54" s="94" customFormat="1" ht="27" x14ac:dyDescent="0.25">
      <c r="A25" s="4"/>
      <c r="B25" s="5"/>
      <c r="C25" s="5"/>
      <c r="D25" s="5"/>
      <c r="E25" s="5"/>
      <c r="F25" s="5"/>
      <c r="G25" s="6">
        <v>4</v>
      </c>
      <c r="H25" s="114" t="s">
        <v>156</v>
      </c>
      <c r="I25" s="211" t="s">
        <v>64</v>
      </c>
      <c r="J25" s="88">
        <v>3211</v>
      </c>
      <c r="K25" s="88">
        <v>3258</v>
      </c>
      <c r="L25" s="88">
        <v>3258</v>
      </c>
      <c r="M25" s="88">
        <v>3223</v>
      </c>
      <c r="N25" s="6">
        <f>+SUM(P25:AA25)</f>
        <v>2911</v>
      </c>
      <c r="O25" s="80">
        <f t="shared" si="4"/>
        <v>226</v>
      </c>
      <c r="P25" s="6">
        <v>0</v>
      </c>
      <c r="Q25" s="6">
        <v>542</v>
      </c>
      <c r="R25" s="6">
        <v>273</v>
      </c>
      <c r="S25" s="6">
        <v>273</v>
      </c>
      <c r="T25" s="6">
        <v>274</v>
      </c>
      <c r="U25" s="6">
        <v>274</v>
      </c>
      <c r="V25" s="6">
        <v>274</v>
      </c>
      <c r="W25" s="6">
        <v>274</v>
      </c>
      <c r="X25" s="6">
        <v>256</v>
      </c>
      <c r="Y25" s="6">
        <v>245</v>
      </c>
      <c r="Z25" s="6">
        <v>226</v>
      </c>
      <c r="AA25" s="6">
        <v>0</v>
      </c>
      <c r="AB25" s="11"/>
      <c r="AC25" s="11"/>
      <c r="AD25" s="11"/>
      <c r="AE25" s="11"/>
      <c r="AF25" s="235"/>
      <c r="AG25" s="9"/>
      <c r="AH25" s="11"/>
      <c r="AI25" s="11"/>
      <c r="AJ25" s="11"/>
      <c r="AK25" s="11"/>
      <c r="AL25" s="11"/>
      <c r="AM25" s="11"/>
      <c r="AN25" s="11"/>
      <c r="AO25" s="11">
        <v>6737.63</v>
      </c>
      <c r="AP25" s="11"/>
      <c r="AQ25" s="276"/>
      <c r="AR25" s="200"/>
      <c r="AS25" s="16"/>
      <c r="AT25"/>
      <c r="AU25" s="81"/>
      <c r="AV25" s="81"/>
      <c r="AW25" s="81"/>
      <c r="AX25" s="81"/>
      <c r="AY25" s="81"/>
      <c r="AZ25" s="81"/>
      <c r="BA25" s="81"/>
      <c r="BB25" s="81"/>
    </row>
    <row r="26" spans="1:54" s="94" customFormat="1" x14ac:dyDescent="0.25">
      <c r="A26" s="4"/>
      <c r="B26" s="5">
        <v>99</v>
      </c>
      <c r="C26" s="5"/>
      <c r="D26" s="5"/>
      <c r="E26" s="5"/>
      <c r="F26" s="5"/>
      <c r="G26" s="5"/>
      <c r="H26" s="55" t="s">
        <v>112</v>
      </c>
      <c r="I26" s="6"/>
      <c r="J26" s="6"/>
      <c r="K26" s="6"/>
      <c r="L26" s="6"/>
      <c r="M26" s="6"/>
      <c r="N26" s="6"/>
      <c r="O26" s="5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11"/>
      <c r="AC26" s="11"/>
      <c r="AD26" s="11"/>
      <c r="AE26" s="11"/>
      <c r="AF26" s="235"/>
      <c r="AG26" s="9"/>
      <c r="AH26" s="11"/>
      <c r="AI26" s="11"/>
      <c r="AJ26" s="11"/>
      <c r="AK26" s="11"/>
      <c r="AL26" s="11"/>
      <c r="AM26" s="11"/>
      <c r="AN26" s="11"/>
      <c r="AO26" s="11"/>
      <c r="AP26" s="11"/>
      <c r="AQ26" s="276"/>
      <c r="AR26" s="200"/>
      <c r="AS26" s="16"/>
      <c r="AT26"/>
      <c r="AU26" s="81"/>
      <c r="AV26" s="81"/>
      <c r="AW26" s="81"/>
      <c r="AX26" s="81"/>
      <c r="AY26" s="81"/>
      <c r="AZ26" s="81"/>
      <c r="BA26" s="81"/>
      <c r="BB26" s="81"/>
    </row>
    <row r="27" spans="1:54" s="94" customFormat="1" x14ac:dyDescent="0.25">
      <c r="A27" s="4"/>
      <c r="B27" s="5"/>
      <c r="C27" s="5">
        <v>0</v>
      </c>
      <c r="D27" s="5"/>
      <c r="E27" s="5"/>
      <c r="F27" s="5"/>
      <c r="G27" s="5"/>
      <c r="H27" s="55" t="s">
        <v>30</v>
      </c>
      <c r="I27" s="6"/>
      <c r="J27" s="6"/>
      <c r="K27" s="6"/>
      <c r="L27" s="6"/>
      <c r="M27" s="6"/>
      <c r="N27" s="6"/>
      <c r="O27" s="5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11"/>
      <c r="AC27" s="11"/>
      <c r="AD27" s="11"/>
      <c r="AE27" s="11"/>
      <c r="AF27" s="235"/>
      <c r="AG27" s="9"/>
      <c r="AH27" s="11"/>
      <c r="AI27" s="11"/>
      <c r="AJ27" s="11"/>
      <c r="AK27" s="11"/>
      <c r="AL27" s="11"/>
      <c r="AM27" s="11"/>
      <c r="AN27" s="11"/>
      <c r="AO27" s="11"/>
      <c r="AP27" s="11"/>
      <c r="AQ27" s="276"/>
      <c r="AR27" s="200"/>
      <c r="AS27" s="16"/>
      <c r="AT27"/>
      <c r="AU27" s="81"/>
      <c r="AV27" s="81"/>
      <c r="AW27" s="81"/>
      <c r="AX27" s="81"/>
      <c r="AY27" s="81"/>
      <c r="AZ27" s="81"/>
      <c r="BA27" s="81"/>
      <c r="BB27" s="81"/>
    </row>
    <row r="28" spans="1:54" s="94" customFormat="1" x14ac:dyDescent="0.25">
      <c r="A28" s="4"/>
      <c r="B28" s="5"/>
      <c r="C28" s="5"/>
      <c r="D28" s="5">
        <v>0</v>
      </c>
      <c r="E28" s="5"/>
      <c r="F28" s="5"/>
      <c r="G28" s="5"/>
      <c r="H28" s="55" t="s">
        <v>31</v>
      </c>
      <c r="I28" s="6"/>
      <c r="J28" s="6"/>
      <c r="K28" s="6"/>
      <c r="L28" s="6"/>
      <c r="M28" s="6"/>
      <c r="N28" s="6"/>
      <c r="O28" s="5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11"/>
      <c r="AC28" s="11"/>
      <c r="AD28" s="11"/>
      <c r="AE28" s="11"/>
      <c r="AF28" s="235"/>
      <c r="AG28" s="9"/>
      <c r="AH28" s="11"/>
      <c r="AI28" s="11"/>
      <c r="AJ28" s="11"/>
      <c r="AK28" s="11"/>
      <c r="AL28" s="11"/>
      <c r="AM28" s="11"/>
      <c r="AN28" s="11"/>
      <c r="AO28" s="11"/>
      <c r="AP28" s="11"/>
      <c r="AQ28" s="276"/>
      <c r="AR28" s="200"/>
      <c r="AS28" s="16"/>
      <c r="AT28"/>
      <c r="AU28" s="81"/>
      <c r="AV28" s="81"/>
      <c r="AW28" s="81"/>
      <c r="AX28" s="81"/>
      <c r="AY28" s="81"/>
      <c r="AZ28" s="81"/>
      <c r="BA28" s="81"/>
      <c r="BB28" s="81"/>
    </row>
    <row r="29" spans="1:54" s="94" customFormat="1" ht="30" x14ac:dyDescent="0.25">
      <c r="A29" s="4"/>
      <c r="B29" s="5"/>
      <c r="C29" s="5"/>
      <c r="D29" s="5"/>
      <c r="E29" s="5">
        <v>2</v>
      </c>
      <c r="F29" s="5">
        <v>0</v>
      </c>
      <c r="G29" s="5"/>
      <c r="H29" s="54" t="s">
        <v>44</v>
      </c>
      <c r="I29" s="6"/>
      <c r="J29" s="6"/>
      <c r="K29" s="6"/>
      <c r="L29" s="6"/>
      <c r="M29" s="6"/>
      <c r="N29" s="6"/>
      <c r="O29" s="5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9">
        <v>500000</v>
      </c>
      <c r="AC29" s="9">
        <v>168000</v>
      </c>
      <c r="AD29" s="9">
        <v>168000</v>
      </c>
      <c r="AE29" s="9">
        <v>821614</v>
      </c>
      <c r="AF29" s="236">
        <f>+SUM(AH29:AS29)</f>
        <v>821613.99</v>
      </c>
      <c r="AG29" s="9">
        <f>+AQ29</f>
        <v>0</v>
      </c>
      <c r="AH29" s="11">
        <v>0</v>
      </c>
      <c r="AI29" s="11">
        <v>162539.29</v>
      </c>
      <c r="AJ29" s="11">
        <v>0</v>
      </c>
      <c r="AK29" s="11">
        <v>659074.69999999995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276">
        <v>0</v>
      </c>
      <c r="AR29" s="200">
        <v>0</v>
      </c>
      <c r="AS29" s="16">
        <v>0</v>
      </c>
      <c r="AT29"/>
      <c r="AU29" s="81">
        <v>2</v>
      </c>
      <c r="AV29" s="81">
        <v>500000</v>
      </c>
      <c r="AW29" s="81">
        <v>2</v>
      </c>
      <c r="AX29" s="81">
        <v>500000</v>
      </c>
      <c r="AY29" s="81">
        <v>2</v>
      </c>
      <c r="AZ29" s="81">
        <v>500000</v>
      </c>
      <c r="BA29" s="81">
        <v>2</v>
      </c>
      <c r="BB29" s="81">
        <v>500000</v>
      </c>
    </row>
    <row r="30" spans="1:54" s="94" customFormat="1" x14ac:dyDescent="0.25">
      <c r="A30" s="4"/>
      <c r="B30" s="5"/>
      <c r="C30" s="5"/>
      <c r="D30" s="5"/>
      <c r="E30" s="5"/>
      <c r="F30" s="5"/>
      <c r="G30" s="5"/>
      <c r="H30" s="55" t="s">
        <v>45</v>
      </c>
      <c r="I30" s="5" t="s">
        <v>43</v>
      </c>
      <c r="J30" s="80">
        <f>J31</f>
        <v>2</v>
      </c>
      <c r="K30" s="80">
        <f>K31</f>
        <v>2</v>
      </c>
      <c r="L30" s="80">
        <f>L31</f>
        <v>2</v>
      </c>
      <c r="M30" s="80">
        <f>M31</f>
        <v>2</v>
      </c>
      <c r="N30" s="6">
        <f>+SUM(P30:AA30)</f>
        <v>0</v>
      </c>
      <c r="O30" s="80">
        <f t="shared" ref="O30:O31" si="6">+Z30</f>
        <v>0</v>
      </c>
      <c r="P30" s="80">
        <f>+P31</f>
        <v>0</v>
      </c>
      <c r="Q30" s="80">
        <f>+Q31</f>
        <v>0</v>
      </c>
      <c r="R30" s="80">
        <f>+R31</f>
        <v>0</v>
      </c>
      <c r="S30" s="80">
        <f t="shared" ref="S30:AA30" si="7">+S31</f>
        <v>0</v>
      </c>
      <c r="T30" s="80">
        <f t="shared" si="7"/>
        <v>0</v>
      </c>
      <c r="U30" s="80">
        <f t="shared" si="7"/>
        <v>0</v>
      </c>
      <c r="V30" s="80">
        <f t="shared" si="7"/>
        <v>0</v>
      </c>
      <c r="W30" s="80">
        <f t="shared" si="7"/>
        <v>0</v>
      </c>
      <c r="X30" s="80">
        <f t="shared" si="7"/>
        <v>0</v>
      </c>
      <c r="Y30" s="80">
        <f t="shared" si="7"/>
        <v>0</v>
      </c>
      <c r="Z30" s="80">
        <f t="shared" si="7"/>
        <v>0</v>
      </c>
      <c r="AA30" s="80">
        <f t="shared" si="7"/>
        <v>0</v>
      </c>
      <c r="AB30" s="11"/>
      <c r="AC30" s="11"/>
      <c r="AD30" s="11"/>
      <c r="AE30" s="11"/>
      <c r="AF30" s="235"/>
      <c r="AG30" s="9"/>
      <c r="AH30" s="11"/>
      <c r="AI30" s="11"/>
      <c r="AJ30" s="11"/>
      <c r="AK30" s="9"/>
      <c r="AL30" s="9"/>
      <c r="AM30" s="9"/>
      <c r="AN30" s="9"/>
      <c r="AO30" s="9"/>
      <c r="AP30" s="9"/>
      <c r="AQ30" s="275"/>
      <c r="AR30" s="164"/>
      <c r="AS30" s="10"/>
      <c r="AT30"/>
      <c r="AU30" s="81"/>
      <c r="AV30" s="81"/>
      <c r="AW30" s="81"/>
      <c r="AX30" s="81"/>
      <c r="AY30" s="81"/>
      <c r="AZ30" s="81"/>
      <c r="BA30" s="81"/>
      <c r="BB30" s="81"/>
    </row>
    <row r="31" spans="1:54" s="94" customFormat="1" ht="27" x14ac:dyDescent="0.25">
      <c r="A31" s="4"/>
      <c r="B31" s="5"/>
      <c r="C31" s="5"/>
      <c r="D31" s="5"/>
      <c r="E31" s="5"/>
      <c r="F31" s="5"/>
      <c r="G31" s="5"/>
      <c r="H31" s="114" t="s">
        <v>45</v>
      </c>
      <c r="I31" s="6" t="s">
        <v>43</v>
      </c>
      <c r="J31" s="88">
        <v>2</v>
      </c>
      <c r="K31" s="88">
        <v>2</v>
      </c>
      <c r="L31" s="88">
        <v>2</v>
      </c>
      <c r="M31" s="88">
        <v>2</v>
      </c>
      <c r="N31" s="6">
        <f>+SUM(P31:AA31)</f>
        <v>0</v>
      </c>
      <c r="O31" s="80">
        <f t="shared" si="6"/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11"/>
      <c r="AC31" s="11"/>
      <c r="AD31" s="11"/>
      <c r="AE31" s="11"/>
      <c r="AF31" s="235"/>
      <c r="AG31" s="9"/>
      <c r="AH31" s="11"/>
      <c r="AI31" s="11"/>
      <c r="AJ31" s="11"/>
      <c r="AK31" s="11"/>
      <c r="AL31" s="11"/>
      <c r="AM31" s="11"/>
      <c r="AN31" s="11"/>
      <c r="AO31" s="11"/>
      <c r="AP31" s="11"/>
      <c r="AQ31" s="276"/>
      <c r="AR31" s="200"/>
      <c r="AS31" s="16"/>
      <c r="AT31"/>
      <c r="AU31" s="81"/>
      <c r="AV31" s="81"/>
      <c r="AW31" s="81"/>
      <c r="AX31" s="81"/>
      <c r="AY31" s="81"/>
      <c r="AZ31" s="81"/>
      <c r="BA31" s="81"/>
      <c r="BB31" s="81"/>
    </row>
    <row r="32" spans="1:54" s="94" customFormat="1" ht="30" x14ac:dyDescent="0.25">
      <c r="A32" s="4"/>
      <c r="B32" s="5"/>
      <c r="C32" s="5"/>
      <c r="D32" s="5"/>
      <c r="E32" s="5">
        <v>3</v>
      </c>
      <c r="F32" s="5">
        <v>0</v>
      </c>
      <c r="G32" s="5"/>
      <c r="H32" s="54" t="s">
        <v>157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9">
        <v>500000</v>
      </c>
      <c r="AC32" s="9">
        <v>210000</v>
      </c>
      <c r="AD32" s="9">
        <v>210000</v>
      </c>
      <c r="AE32" s="9">
        <v>500964</v>
      </c>
      <c r="AF32" s="236">
        <v>400973.54</v>
      </c>
      <c r="AG32" s="9">
        <f>+AQ32</f>
        <v>0</v>
      </c>
      <c r="AH32" s="11">
        <v>0</v>
      </c>
      <c r="AI32" s="11">
        <v>115570.2</v>
      </c>
      <c r="AJ32" s="11">
        <v>0</v>
      </c>
      <c r="AK32" s="11">
        <v>84213.36</v>
      </c>
      <c r="AL32" s="11">
        <v>115228.5</v>
      </c>
      <c r="AM32" s="11">
        <v>0</v>
      </c>
      <c r="AN32" s="11">
        <v>0</v>
      </c>
      <c r="AO32" s="11">
        <v>0</v>
      </c>
      <c r="AP32" s="11">
        <v>0</v>
      </c>
      <c r="AQ32" s="276">
        <v>0</v>
      </c>
      <c r="AR32" s="200">
        <v>0</v>
      </c>
      <c r="AS32" s="16">
        <v>0</v>
      </c>
      <c r="AT32"/>
      <c r="AU32" s="81">
        <v>2</v>
      </c>
      <c r="AV32" s="81">
        <v>500000</v>
      </c>
      <c r="AW32" s="81">
        <v>2</v>
      </c>
      <c r="AX32" s="81">
        <v>500000</v>
      </c>
      <c r="AY32" s="81">
        <v>2</v>
      </c>
      <c r="AZ32" s="81">
        <v>500000</v>
      </c>
      <c r="BA32" s="81">
        <v>2</v>
      </c>
      <c r="BB32" s="81">
        <v>500000</v>
      </c>
    </row>
    <row r="33" spans="1:54" s="94" customFormat="1" ht="30" x14ac:dyDescent="0.25">
      <c r="A33" s="4"/>
      <c r="B33" s="5"/>
      <c r="C33" s="5"/>
      <c r="D33" s="5"/>
      <c r="E33" s="5"/>
      <c r="F33" s="5"/>
      <c r="G33" s="5"/>
      <c r="H33" s="54" t="s">
        <v>47</v>
      </c>
      <c r="I33" s="5" t="s">
        <v>43</v>
      </c>
      <c r="J33" s="80">
        <f>J34</f>
        <v>2</v>
      </c>
      <c r="K33" s="80">
        <f>K34</f>
        <v>2</v>
      </c>
      <c r="L33" s="80">
        <f>L34</f>
        <v>2</v>
      </c>
      <c r="M33" s="80">
        <f>M34</f>
        <v>2</v>
      </c>
      <c r="N33" s="6">
        <f>+SUM(P33:AA33)</f>
        <v>0</v>
      </c>
      <c r="O33" s="80">
        <f t="shared" ref="O33:O34" si="8">+Z33</f>
        <v>0</v>
      </c>
      <c r="P33" s="80">
        <f>+P34</f>
        <v>0</v>
      </c>
      <c r="Q33" s="80">
        <v>0</v>
      </c>
      <c r="R33" s="80">
        <f>+R34</f>
        <v>0</v>
      </c>
      <c r="S33" s="80">
        <f t="shared" ref="S33:AA33" si="9">+S34</f>
        <v>0</v>
      </c>
      <c r="T33" s="80">
        <f t="shared" si="9"/>
        <v>0</v>
      </c>
      <c r="U33" s="80">
        <f t="shared" si="9"/>
        <v>0</v>
      </c>
      <c r="V33" s="80">
        <f t="shared" si="9"/>
        <v>0</v>
      </c>
      <c r="W33" s="80">
        <f t="shared" si="9"/>
        <v>0</v>
      </c>
      <c r="X33" s="80">
        <f t="shared" si="9"/>
        <v>0</v>
      </c>
      <c r="Y33" s="80">
        <f t="shared" si="9"/>
        <v>0</v>
      </c>
      <c r="Z33" s="80">
        <f t="shared" si="9"/>
        <v>0</v>
      </c>
      <c r="AA33" s="80">
        <f t="shared" si="9"/>
        <v>0</v>
      </c>
      <c r="AB33" s="11"/>
      <c r="AC33" s="11"/>
      <c r="AD33" s="11"/>
      <c r="AE33" s="11"/>
      <c r="AF33" s="235"/>
      <c r="AG33" s="11"/>
      <c r="AH33" s="11"/>
      <c r="AI33" s="11"/>
      <c r="AJ33" s="11"/>
      <c r="AK33" s="9"/>
      <c r="AL33" s="9"/>
      <c r="AM33" s="9"/>
      <c r="AN33" s="9"/>
      <c r="AO33" s="9"/>
      <c r="AP33" s="9"/>
      <c r="AQ33" s="275"/>
      <c r="AR33" s="164"/>
      <c r="AS33" s="10"/>
      <c r="AT33"/>
      <c r="AU33" s="81"/>
      <c r="AV33" s="81"/>
      <c r="AW33" s="81"/>
      <c r="AX33" s="81"/>
      <c r="AY33" s="81"/>
      <c r="AZ33" s="81"/>
      <c r="BA33" s="81"/>
      <c r="BB33" s="81"/>
    </row>
    <row r="34" spans="1:54" s="94" customFormat="1" ht="27.75" thickBot="1" x14ac:dyDescent="0.3">
      <c r="A34" s="105"/>
      <c r="B34" s="113"/>
      <c r="C34" s="113"/>
      <c r="D34" s="113"/>
      <c r="E34" s="113"/>
      <c r="F34" s="113"/>
      <c r="G34" s="113"/>
      <c r="H34" s="64" t="s">
        <v>47</v>
      </c>
      <c r="I34" s="63" t="s">
        <v>43</v>
      </c>
      <c r="J34" s="107">
        <v>2</v>
      </c>
      <c r="K34" s="107">
        <v>2</v>
      </c>
      <c r="L34" s="107">
        <v>2</v>
      </c>
      <c r="M34" s="107">
        <v>2</v>
      </c>
      <c r="N34" s="63">
        <f>+SUM(P34:AA34)</f>
        <v>0</v>
      </c>
      <c r="O34" s="80">
        <f t="shared" si="8"/>
        <v>0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15"/>
      <c r="AC34" s="15"/>
      <c r="AD34" s="15"/>
      <c r="AE34" s="15"/>
      <c r="AF34" s="237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277"/>
      <c r="AR34" s="201"/>
      <c r="AS34" s="17"/>
      <c r="AT34"/>
      <c r="AU34" s="81"/>
      <c r="AV34" s="81"/>
      <c r="AW34" s="81"/>
      <c r="AX34" s="81"/>
      <c r="AY34" s="81"/>
      <c r="AZ34" s="81"/>
      <c r="BA34" s="81"/>
      <c r="BB34" s="81"/>
    </row>
    <row r="35" spans="1:54" s="94" customFormat="1" x14ac:dyDescent="0.25">
      <c r="AF35" s="238"/>
      <c r="AQ35" s="238"/>
      <c r="AT35"/>
    </row>
    <row r="36" spans="1:54" s="94" customFormat="1" x14ac:dyDescent="0.25">
      <c r="AF36" s="238"/>
      <c r="AQ36" s="238"/>
      <c r="AT36"/>
    </row>
    <row r="38" spans="1:54" x14ac:dyDescent="0.25">
      <c r="H38" t="s">
        <v>214</v>
      </c>
    </row>
    <row r="39" spans="1:54" x14ac:dyDescent="0.25">
      <c r="H39" t="s">
        <v>225</v>
      </c>
    </row>
  </sheetData>
  <mergeCells count="7">
    <mergeCell ref="AW5:AX5"/>
    <mergeCell ref="AY5:AZ5"/>
    <mergeCell ref="BA5:BB5"/>
    <mergeCell ref="A5:I5"/>
    <mergeCell ref="J5:O5"/>
    <mergeCell ref="AB5:AG5"/>
    <mergeCell ref="AU5:AV5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tabColor theme="4" tint="0.59999389629810485"/>
  </sheetPr>
  <dimension ref="A1:BC55"/>
  <sheetViews>
    <sheetView zoomScale="85" zoomScaleNormal="85" workbookViewId="0">
      <pane xSplit="8" ySplit="6" topLeftCell="I13" activePane="bottomRight" state="frozen"/>
      <selection activeCell="J1" sqref="J1:K1048576"/>
      <selection pane="topRight" activeCell="J1" sqref="J1:K1048576"/>
      <selection pane="bottomLeft" activeCell="J1" sqref="J1:K1048576"/>
      <selection pane="bottomRight" activeCell="M11" sqref="M11:M12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hidden="1" customWidth="1"/>
    <col min="12" max="12" width="10.7109375" customWidth="1"/>
    <col min="13" max="13" width="11.28515625" style="224" bestFit="1" customWidth="1"/>
    <col min="14" max="14" width="13.7109375" style="224" customWidth="1"/>
    <col min="15" max="15" width="13.7109375" customWidth="1"/>
    <col min="16" max="24" width="13.7109375" hidden="1" customWidth="1"/>
    <col min="25" max="25" width="11" style="224" hidden="1" customWidth="1"/>
    <col min="26" max="27" width="13.7109375" hidden="1" customWidth="1"/>
    <col min="28" max="30" width="13.7109375" customWidth="1"/>
    <col min="31" max="33" width="16" customWidth="1"/>
    <col min="34" max="45" width="13.7109375" hidden="1" customWidth="1"/>
    <col min="46" max="46" width="11.5703125" bestFit="1" customWidth="1"/>
    <col min="48" max="48" width="10.7109375" customWidth="1"/>
    <col min="49" max="49" width="13.7109375" customWidth="1"/>
    <col min="50" max="50" width="10.7109375" customWidth="1"/>
    <col min="51" max="51" width="13.7109375" customWidth="1"/>
    <col min="52" max="52" width="10.7109375" customWidth="1"/>
    <col min="53" max="53" width="13.7109375" customWidth="1"/>
    <col min="54" max="54" width="11.85546875" customWidth="1"/>
    <col min="55" max="55" width="13.7109375" customWidth="1"/>
  </cols>
  <sheetData>
    <row r="1" spans="1:55" ht="15" customHeight="1" x14ac:dyDescent="0.25">
      <c r="A1" s="32" t="s">
        <v>49</v>
      </c>
    </row>
    <row r="2" spans="1:55" ht="15" customHeight="1" x14ac:dyDescent="0.25">
      <c r="A2" s="32" t="s">
        <v>50</v>
      </c>
    </row>
    <row r="3" spans="1:55" ht="15" customHeight="1" x14ac:dyDescent="0.25">
      <c r="A3" s="32" t="str">
        <f>+'208. UNCOSU'!A3</f>
        <v xml:space="preserve">EJERCICIO FISCAL 2022 - ACTUALIZADA NOVIEMBRE </v>
      </c>
    </row>
    <row r="4" spans="1:55" ht="15" customHeight="1" thickBot="1" x14ac:dyDescent="0.3"/>
    <row r="5" spans="1:55" s="115" customFormat="1" x14ac:dyDescent="0.25">
      <c r="A5" s="328" t="s">
        <v>158</v>
      </c>
      <c r="B5" s="329"/>
      <c r="C5" s="329"/>
      <c r="D5" s="329"/>
      <c r="E5" s="329"/>
      <c r="F5" s="329"/>
      <c r="G5" s="329"/>
      <c r="H5" s="329"/>
      <c r="I5" s="329"/>
      <c r="J5" s="330" t="s">
        <v>1</v>
      </c>
      <c r="K5" s="330"/>
      <c r="L5" s="330"/>
      <c r="M5" s="330"/>
      <c r="N5" s="330"/>
      <c r="O5" s="330"/>
      <c r="P5" s="39"/>
      <c r="Q5" s="39"/>
      <c r="R5" s="39"/>
      <c r="S5" s="39"/>
      <c r="T5" s="39"/>
      <c r="U5" s="39"/>
      <c r="V5" s="39"/>
      <c r="W5" s="39"/>
      <c r="X5" s="39"/>
      <c r="Y5" s="234"/>
      <c r="Z5" s="39"/>
      <c r="AA5" s="39"/>
      <c r="AB5" s="330" t="s">
        <v>2</v>
      </c>
      <c r="AC5" s="330"/>
      <c r="AD5" s="330"/>
      <c r="AE5" s="330"/>
      <c r="AF5" s="330"/>
      <c r="AG5" s="331"/>
      <c r="AH5" s="162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40"/>
      <c r="AT5" s="136"/>
      <c r="AU5" s="136"/>
      <c r="AV5" s="327" t="s">
        <v>51</v>
      </c>
      <c r="AW5" s="327"/>
      <c r="AX5" s="327" t="s">
        <v>52</v>
      </c>
      <c r="AY5" s="327"/>
      <c r="AZ5" s="327" t="s">
        <v>53</v>
      </c>
      <c r="BA5" s="327"/>
      <c r="BB5" s="327" t="s">
        <v>55</v>
      </c>
      <c r="BC5" s="327"/>
    </row>
    <row r="6" spans="1:55" s="117" customFormat="1" ht="36.75" thickBot="1" x14ac:dyDescent="0.3">
      <c r="A6" s="255" t="s">
        <v>3</v>
      </c>
      <c r="B6" s="246" t="s">
        <v>4</v>
      </c>
      <c r="C6" s="246" t="s">
        <v>5</v>
      </c>
      <c r="D6" s="246" t="s">
        <v>6</v>
      </c>
      <c r="E6" s="246" t="s">
        <v>7</v>
      </c>
      <c r="F6" s="246" t="s">
        <v>8</v>
      </c>
      <c r="G6" s="246" t="s">
        <v>9</v>
      </c>
      <c r="H6" s="247" t="s">
        <v>10</v>
      </c>
      <c r="I6" s="248" t="s">
        <v>11</v>
      </c>
      <c r="J6" s="249" t="s">
        <v>12</v>
      </c>
      <c r="K6" s="249" t="s">
        <v>65</v>
      </c>
      <c r="L6" s="249" t="s">
        <v>13</v>
      </c>
      <c r="M6" s="278" t="s">
        <v>14</v>
      </c>
      <c r="N6" s="271" t="s">
        <v>15</v>
      </c>
      <c r="O6" s="250" t="s">
        <v>16</v>
      </c>
      <c r="P6" s="250" t="s">
        <v>17</v>
      </c>
      <c r="Q6" s="250" t="s">
        <v>18</v>
      </c>
      <c r="R6" s="250" t="s">
        <v>19</v>
      </c>
      <c r="S6" s="250" t="s">
        <v>20</v>
      </c>
      <c r="T6" s="250" t="s">
        <v>21</v>
      </c>
      <c r="U6" s="250" t="s">
        <v>22</v>
      </c>
      <c r="V6" s="250" t="s">
        <v>23</v>
      </c>
      <c r="W6" s="250" t="s">
        <v>24</v>
      </c>
      <c r="X6" s="250" t="s">
        <v>25</v>
      </c>
      <c r="Y6" s="271" t="s">
        <v>26</v>
      </c>
      <c r="Z6" s="250" t="s">
        <v>27</v>
      </c>
      <c r="AA6" s="250" t="s">
        <v>28</v>
      </c>
      <c r="AB6" s="249" t="s">
        <v>12</v>
      </c>
      <c r="AC6" s="249" t="s">
        <v>65</v>
      </c>
      <c r="AD6" s="249" t="s">
        <v>13</v>
      </c>
      <c r="AE6" s="249" t="s">
        <v>14</v>
      </c>
      <c r="AF6" s="250" t="s">
        <v>15</v>
      </c>
      <c r="AG6" s="256" t="s">
        <v>16</v>
      </c>
      <c r="AH6" s="30" t="s">
        <v>17</v>
      </c>
      <c r="AI6" s="28" t="s">
        <v>18</v>
      </c>
      <c r="AJ6" s="28" t="s">
        <v>19</v>
      </c>
      <c r="AK6" s="28" t="s">
        <v>20</v>
      </c>
      <c r="AL6" s="28" t="s">
        <v>21</v>
      </c>
      <c r="AM6" s="28" t="s">
        <v>22</v>
      </c>
      <c r="AN6" s="28" t="s">
        <v>23</v>
      </c>
      <c r="AO6" s="28" t="s">
        <v>24</v>
      </c>
      <c r="AP6" s="28" t="s">
        <v>25</v>
      </c>
      <c r="AQ6" s="28" t="s">
        <v>26</v>
      </c>
      <c r="AR6" s="28" t="s">
        <v>27</v>
      </c>
      <c r="AS6" s="29" t="s">
        <v>28</v>
      </c>
      <c r="AT6" s="137"/>
      <c r="AU6" s="137"/>
      <c r="AV6" s="70" t="s">
        <v>54</v>
      </c>
      <c r="AW6" s="70" t="s">
        <v>2</v>
      </c>
      <c r="AX6" s="70" t="s">
        <v>54</v>
      </c>
      <c r="AY6" s="70" t="s">
        <v>2</v>
      </c>
      <c r="AZ6" s="70" t="s">
        <v>54</v>
      </c>
      <c r="BA6" s="70" t="s">
        <v>2</v>
      </c>
      <c r="BB6" s="70" t="s">
        <v>54</v>
      </c>
      <c r="BC6" s="70" t="s">
        <v>2</v>
      </c>
    </row>
    <row r="7" spans="1:55" s="115" customFormat="1" x14ac:dyDescent="0.25">
      <c r="A7" s="4"/>
      <c r="B7" s="5">
        <v>17</v>
      </c>
      <c r="C7" s="5"/>
      <c r="D7" s="5"/>
      <c r="E7" s="5"/>
      <c r="F7" s="5"/>
      <c r="G7" s="5"/>
      <c r="H7" s="54" t="s">
        <v>159</v>
      </c>
      <c r="I7" s="211"/>
      <c r="J7" s="11"/>
      <c r="K7" s="11"/>
      <c r="L7" s="11"/>
      <c r="M7" s="235"/>
      <c r="N7" s="235"/>
      <c r="O7" s="11"/>
      <c r="P7" s="11"/>
      <c r="Q7" s="11"/>
      <c r="R7" s="11"/>
      <c r="S7" s="11"/>
      <c r="T7" s="11"/>
      <c r="U7" s="11"/>
      <c r="V7" s="11"/>
      <c r="W7" s="11"/>
      <c r="X7" s="11"/>
      <c r="Y7" s="235"/>
      <c r="Z7" s="11"/>
      <c r="AA7" s="11"/>
      <c r="AB7" s="11"/>
      <c r="AC7" s="11"/>
      <c r="AD7" s="11"/>
      <c r="AE7" s="11"/>
      <c r="AF7" s="11"/>
      <c r="AG7" s="16"/>
      <c r="AH7" s="199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3"/>
      <c r="AT7" s="136"/>
      <c r="AU7" s="136"/>
      <c r="AV7" s="11"/>
      <c r="AW7" s="11"/>
      <c r="AX7" s="11"/>
      <c r="AY7" s="11"/>
      <c r="AZ7" s="11"/>
      <c r="BA7" s="11"/>
      <c r="BB7" s="11"/>
      <c r="BC7" s="11"/>
    </row>
    <row r="8" spans="1:55" s="115" customFormat="1" x14ac:dyDescent="0.25">
      <c r="A8" s="4"/>
      <c r="B8" s="5"/>
      <c r="C8" s="5">
        <v>0</v>
      </c>
      <c r="D8" s="5"/>
      <c r="E8" s="5"/>
      <c r="F8" s="5"/>
      <c r="G8" s="5"/>
      <c r="H8" s="54" t="s">
        <v>30</v>
      </c>
      <c r="I8" s="211"/>
      <c r="J8" s="11"/>
      <c r="K8" s="11"/>
      <c r="L8" s="11"/>
      <c r="M8" s="235"/>
      <c r="N8" s="235"/>
      <c r="O8" s="11"/>
      <c r="P8" s="11"/>
      <c r="Q8" s="11"/>
      <c r="R8" s="11"/>
      <c r="S8" s="11"/>
      <c r="T8" s="11"/>
      <c r="U8" s="11"/>
      <c r="V8" s="11"/>
      <c r="W8" s="11"/>
      <c r="X8" s="11"/>
      <c r="Y8" s="235"/>
      <c r="Z8" s="11"/>
      <c r="AA8" s="11"/>
      <c r="AB8" s="11"/>
      <c r="AC8" s="11"/>
      <c r="AD8" s="11"/>
      <c r="AE8" s="11"/>
      <c r="AF8" s="11"/>
      <c r="AG8" s="16"/>
      <c r="AH8" s="200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6"/>
      <c r="AT8" s="136"/>
      <c r="AU8" s="136"/>
      <c r="AV8" s="11"/>
      <c r="AW8" s="11"/>
      <c r="AX8" s="11"/>
      <c r="AY8" s="11"/>
      <c r="AZ8" s="11"/>
      <c r="BA8" s="11"/>
      <c r="BB8" s="11"/>
      <c r="BC8" s="11"/>
    </row>
    <row r="9" spans="1:55" s="115" customFormat="1" x14ac:dyDescent="0.25">
      <c r="A9" s="4"/>
      <c r="B9" s="5"/>
      <c r="C9" s="5"/>
      <c r="D9" s="5">
        <v>0</v>
      </c>
      <c r="E9" s="5"/>
      <c r="F9" s="5"/>
      <c r="G9" s="5"/>
      <c r="H9" s="54" t="s">
        <v>31</v>
      </c>
      <c r="I9" s="211"/>
      <c r="J9" s="11"/>
      <c r="K9" s="11"/>
      <c r="L9" s="11"/>
      <c r="M9" s="235"/>
      <c r="N9" s="235"/>
      <c r="O9" s="11"/>
      <c r="P9" s="11"/>
      <c r="Q9" s="11"/>
      <c r="R9" s="11"/>
      <c r="S9" s="11"/>
      <c r="T9" s="11"/>
      <c r="U9" s="11"/>
      <c r="V9" s="11"/>
      <c r="W9" s="11"/>
      <c r="X9" s="11"/>
      <c r="Y9" s="235"/>
      <c r="Z9" s="11"/>
      <c r="AA9" s="11"/>
      <c r="AB9" s="11"/>
      <c r="AC9" s="11"/>
      <c r="AD9" s="11"/>
      <c r="AE9" s="11"/>
      <c r="AF9" s="11"/>
      <c r="AG9" s="10"/>
      <c r="AH9" s="200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6"/>
      <c r="AT9" s="136"/>
      <c r="AU9" s="136"/>
      <c r="AV9" s="11"/>
      <c r="AW9" s="11"/>
      <c r="AX9" s="11"/>
      <c r="AY9" s="11"/>
      <c r="AZ9" s="11"/>
      <c r="BA9" s="11"/>
      <c r="BB9" s="11"/>
      <c r="BC9" s="11"/>
    </row>
    <row r="10" spans="1:55" s="115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4" t="s">
        <v>59</v>
      </c>
      <c r="I10" s="211"/>
      <c r="J10" s="11"/>
      <c r="K10" s="11"/>
      <c r="L10" s="11"/>
      <c r="M10" s="235"/>
      <c r="N10" s="235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235"/>
      <c r="Z10" s="11"/>
      <c r="AA10" s="11"/>
      <c r="AB10" s="9">
        <v>208679710.61311305</v>
      </c>
      <c r="AC10" s="9">
        <v>11254410</v>
      </c>
      <c r="AD10" s="9">
        <v>11262410</v>
      </c>
      <c r="AE10" s="9">
        <v>9700202</v>
      </c>
      <c r="AF10" s="9">
        <f>7972958.44+AR10</f>
        <v>8694320.540000001</v>
      </c>
      <c r="AG10" s="10">
        <f>+AR10</f>
        <v>721362.1</v>
      </c>
      <c r="AH10" s="200">
        <v>729569.14</v>
      </c>
      <c r="AI10" s="11">
        <v>857381.16</v>
      </c>
      <c r="AJ10" s="11">
        <v>1111792.71</v>
      </c>
      <c r="AK10" s="11">
        <v>850153.22</v>
      </c>
      <c r="AL10" s="11">
        <v>686002.99</v>
      </c>
      <c r="AM10" s="11">
        <v>45774.15</v>
      </c>
      <c r="AN10" s="11">
        <v>693532.63</v>
      </c>
      <c r="AO10" s="11">
        <v>109255.24</v>
      </c>
      <c r="AP10" s="11">
        <v>39875.56</v>
      </c>
      <c r="AQ10" s="11">
        <v>665438.51</v>
      </c>
      <c r="AR10" s="11">
        <v>721362.1</v>
      </c>
      <c r="AS10" s="16">
        <v>0</v>
      </c>
      <c r="AT10" s="138"/>
      <c r="AU10" s="136"/>
      <c r="AV10" s="11"/>
      <c r="AW10" s="11"/>
      <c r="AX10" s="11"/>
      <c r="AY10" s="11"/>
      <c r="AZ10" s="11"/>
      <c r="BA10" s="11"/>
      <c r="BB10" s="11"/>
      <c r="BC10" s="11"/>
    </row>
    <row r="11" spans="1:55" s="115" customFormat="1" x14ac:dyDescent="0.25">
      <c r="A11" s="4">
        <v>4</v>
      </c>
      <c r="B11" s="5"/>
      <c r="C11" s="5"/>
      <c r="D11" s="5"/>
      <c r="E11" s="6"/>
      <c r="F11" s="6"/>
      <c r="G11" s="5">
        <v>1</v>
      </c>
      <c r="H11" s="54" t="s">
        <v>60</v>
      </c>
      <c r="I11" s="254" t="s">
        <v>34</v>
      </c>
      <c r="J11" s="9">
        <f>J12</f>
        <v>747</v>
      </c>
      <c r="K11" s="9">
        <f>K12</f>
        <v>598</v>
      </c>
      <c r="L11" s="9">
        <f>L12</f>
        <v>598</v>
      </c>
      <c r="M11" s="236">
        <v>944</v>
      </c>
      <c r="N11" s="236">
        <f>871+O11</f>
        <v>921</v>
      </c>
      <c r="O11" s="9">
        <f>+Z11</f>
        <v>50</v>
      </c>
      <c r="P11" s="9">
        <f t="shared" ref="P11:AA11" si="0">+P12</f>
        <v>0</v>
      </c>
      <c r="Q11" s="9">
        <f t="shared" si="0"/>
        <v>225</v>
      </c>
      <c r="R11" s="9">
        <f t="shared" si="0"/>
        <v>5</v>
      </c>
      <c r="S11" s="9">
        <f t="shared" si="0"/>
        <v>31</v>
      </c>
      <c r="T11" s="9">
        <f t="shared" si="0"/>
        <v>176</v>
      </c>
      <c r="U11" s="9">
        <f>+U12</f>
        <v>13</v>
      </c>
      <c r="V11" s="9">
        <f t="shared" si="0"/>
        <v>211</v>
      </c>
      <c r="W11" s="9">
        <f t="shared" si="0"/>
        <v>2</v>
      </c>
      <c r="X11" s="9">
        <f t="shared" si="0"/>
        <v>8</v>
      </c>
      <c r="Y11" s="236">
        <v>200</v>
      </c>
      <c r="Z11" s="9">
        <v>50</v>
      </c>
      <c r="AA11" s="9">
        <f t="shared" si="0"/>
        <v>0</v>
      </c>
      <c r="AB11" s="9"/>
      <c r="AC11" s="9"/>
      <c r="AD11" s="9"/>
      <c r="AE11" s="9"/>
      <c r="AF11" s="9"/>
      <c r="AG11" s="10"/>
      <c r="AH11" s="164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10"/>
      <c r="AT11" s="143"/>
      <c r="AU11" s="136"/>
      <c r="AV11" s="9">
        <f>+AV12</f>
        <v>1089</v>
      </c>
      <c r="AW11" s="9">
        <f>+AW12</f>
        <v>239044679.44999999</v>
      </c>
      <c r="AX11" s="9">
        <f>+AX12</f>
        <v>1426</v>
      </c>
      <c r="AY11" s="9">
        <v>50148670.920000002</v>
      </c>
      <c r="AZ11" s="9">
        <f>+AZ12</f>
        <v>1694</v>
      </c>
      <c r="BA11" s="9">
        <f>+BA12</f>
        <v>304028117.50999999</v>
      </c>
      <c r="BB11" s="9">
        <f>+BB12</f>
        <v>1913</v>
      </c>
      <c r="BC11" s="9">
        <f>+BC12</f>
        <v>334701127.06</v>
      </c>
    </row>
    <row r="12" spans="1:55" s="115" customFormat="1" x14ac:dyDescent="0.25">
      <c r="A12" s="4"/>
      <c r="B12" s="5"/>
      <c r="C12" s="5"/>
      <c r="D12" s="5"/>
      <c r="E12" s="5"/>
      <c r="F12" s="5"/>
      <c r="G12" s="6">
        <v>2</v>
      </c>
      <c r="H12" s="114" t="s">
        <v>60</v>
      </c>
      <c r="I12" s="211" t="s">
        <v>34</v>
      </c>
      <c r="J12" s="11">
        <v>747</v>
      </c>
      <c r="K12" s="11">
        <v>598</v>
      </c>
      <c r="L12" s="11">
        <v>598</v>
      </c>
      <c r="M12" s="235">
        <v>944</v>
      </c>
      <c r="N12" s="235">
        <f>871+O12</f>
        <v>921</v>
      </c>
      <c r="O12" s="11">
        <f>+Z12</f>
        <v>50</v>
      </c>
      <c r="P12" s="11">
        <v>0</v>
      </c>
      <c r="Q12" s="11">
        <v>225</v>
      </c>
      <c r="R12" s="11">
        <v>5</v>
      </c>
      <c r="S12" s="11">
        <v>31</v>
      </c>
      <c r="T12" s="11">
        <v>176</v>
      </c>
      <c r="U12" s="11">
        <v>13</v>
      </c>
      <c r="V12" s="11">
        <v>211</v>
      </c>
      <c r="W12" s="11">
        <v>2</v>
      </c>
      <c r="X12" s="11">
        <v>8</v>
      </c>
      <c r="Y12" s="235">
        <v>200</v>
      </c>
      <c r="Z12" s="11">
        <v>50</v>
      </c>
      <c r="AA12" s="11">
        <v>0</v>
      </c>
      <c r="AB12" s="9"/>
      <c r="AC12" s="9"/>
      <c r="AD12" s="9"/>
      <c r="AE12" s="9"/>
      <c r="AF12" s="9"/>
      <c r="AG12" s="10"/>
      <c r="AH12" s="164"/>
      <c r="AI12" s="9"/>
      <c r="AJ12" s="9"/>
      <c r="AK12" s="11"/>
      <c r="AL12" s="9"/>
      <c r="AM12" s="11"/>
      <c r="AN12" s="11"/>
      <c r="AO12" s="11"/>
      <c r="AP12" s="11"/>
      <c r="AQ12" s="11"/>
      <c r="AR12" s="11"/>
      <c r="AS12" s="16"/>
      <c r="AT12" s="143"/>
      <c r="AU12" s="136"/>
      <c r="AV12" s="11">
        <v>1089</v>
      </c>
      <c r="AW12" s="11">
        <v>239044679.44999999</v>
      </c>
      <c r="AX12" s="11">
        <v>1426</v>
      </c>
      <c r="AY12" s="11">
        <v>270697745.19</v>
      </c>
      <c r="AZ12" s="11">
        <v>1694</v>
      </c>
      <c r="BA12" s="11">
        <v>304028117.50999999</v>
      </c>
      <c r="BB12" s="11">
        <v>1913</v>
      </c>
      <c r="BC12" s="11">
        <v>334701127.06</v>
      </c>
    </row>
    <row r="13" spans="1:55" s="115" customFormat="1" x14ac:dyDescent="0.25">
      <c r="A13" s="4"/>
      <c r="B13" s="5"/>
      <c r="C13" s="5"/>
      <c r="D13" s="5"/>
      <c r="E13" s="5">
        <v>2</v>
      </c>
      <c r="F13" s="5">
        <v>0</v>
      </c>
      <c r="G13" s="5"/>
      <c r="H13" s="54" t="s">
        <v>160</v>
      </c>
      <c r="I13" s="211"/>
      <c r="J13" s="11"/>
      <c r="K13" s="11"/>
      <c r="L13" s="11"/>
      <c r="M13" s="235"/>
      <c r="N13" s="235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235"/>
      <c r="Z13" s="11"/>
      <c r="AA13" s="11"/>
      <c r="AB13" s="9">
        <v>38425320</v>
      </c>
      <c r="AC13" s="9">
        <v>13055243</v>
      </c>
      <c r="AD13" s="9">
        <v>13055243</v>
      </c>
      <c r="AE13" s="9">
        <v>11483263</v>
      </c>
      <c r="AF13" s="9">
        <f>9513487.81+AR13</f>
        <v>10454358.92</v>
      </c>
      <c r="AG13" s="10">
        <f>+AR13</f>
        <v>940871.11</v>
      </c>
      <c r="AH13" s="200">
        <v>943701.87</v>
      </c>
      <c r="AI13" s="11">
        <v>949636.62</v>
      </c>
      <c r="AJ13" s="11">
        <v>983329.34</v>
      </c>
      <c r="AK13" s="11">
        <v>955011.07</v>
      </c>
      <c r="AL13" s="11">
        <v>946176.36</v>
      </c>
      <c r="AM13" s="11">
        <v>52682.45</v>
      </c>
      <c r="AN13" s="11">
        <v>547519.73</v>
      </c>
      <c r="AO13" s="11">
        <v>80215.86</v>
      </c>
      <c r="AP13" s="11">
        <v>88524.47</v>
      </c>
      <c r="AQ13" s="11">
        <v>876750.76</v>
      </c>
      <c r="AR13" s="11">
        <v>940871.11</v>
      </c>
      <c r="AS13" s="16">
        <v>0</v>
      </c>
      <c r="AT13" s="138"/>
      <c r="AU13" s="136"/>
      <c r="AV13" s="11"/>
      <c r="AW13" s="11"/>
      <c r="AX13" s="11"/>
      <c r="AY13" s="11"/>
      <c r="AZ13" s="11"/>
      <c r="BA13" s="11"/>
      <c r="BB13" s="11"/>
      <c r="BC13" s="11"/>
    </row>
    <row r="14" spans="1:55" s="115" customFormat="1" ht="30" x14ac:dyDescent="0.25">
      <c r="A14" s="4">
        <v>4</v>
      </c>
      <c r="B14" s="5"/>
      <c r="C14" s="5"/>
      <c r="D14" s="5"/>
      <c r="E14" s="5"/>
      <c r="F14" s="5"/>
      <c r="G14" s="5">
        <v>1</v>
      </c>
      <c r="H14" s="54" t="s">
        <v>161</v>
      </c>
      <c r="I14" s="254" t="s">
        <v>101</v>
      </c>
      <c r="J14" s="9">
        <f>J15</f>
        <v>344557</v>
      </c>
      <c r="K14" s="9">
        <f>K15</f>
        <v>241092</v>
      </c>
      <c r="L14" s="9">
        <f>L15</f>
        <v>241092</v>
      </c>
      <c r="M14" s="236">
        <v>396583</v>
      </c>
      <c r="N14" s="236">
        <f>290031+O14</f>
        <v>338226</v>
      </c>
      <c r="O14" s="9">
        <f>+Z14</f>
        <v>48195</v>
      </c>
      <c r="P14" s="9">
        <f t="shared" ref="P14:AA14" si="1">+P15</f>
        <v>0</v>
      </c>
      <c r="Q14" s="9">
        <f t="shared" si="1"/>
        <v>59872</v>
      </c>
      <c r="R14" s="9">
        <f t="shared" si="1"/>
        <v>22941</v>
      </c>
      <c r="S14" s="9">
        <f t="shared" si="1"/>
        <v>23571</v>
      </c>
      <c r="T14" s="9">
        <f t="shared" si="1"/>
        <v>58667</v>
      </c>
      <c r="U14" s="9">
        <f t="shared" si="1"/>
        <v>29596</v>
      </c>
      <c r="V14" s="9">
        <f t="shared" si="1"/>
        <v>21484</v>
      </c>
      <c r="W14" s="9">
        <f t="shared" si="1"/>
        <v>27390</v>
      </c>
      <c r="X14" s="9">
        <f t="shared" si="1"/>
        <v>22943</v>
      </c>
      <c r="Y14" s="236">
        <v>23567</v>
      </c>
      <c r="Z14" s="9">
        <v>48195</v>
      </c>
      <c r="AA14" s="9">
        <f t="shared" si="1"/>
        <v>0</v>
      </c>
      <c r="AB14" s="9"/>
      <c r="AC14" s="9"/>
      <c r="AD14" s="9"/>
      <c r="AE14" s="9"/>
      <c r="AF14" s="9"/>
      <c r="AG14" s="10"/>
      <c r="AH14" s="164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10"/>
      <c r="AT14" s="136"/>
      <c r="AU14" s="136"/>
      <c r="AV14" s="9">
        <f>+AV15</f>
        <v>395250.9</v>
      </c>
      <c r="AW14" s="9">
        <f>+AW15</f>
        <v>49875454</v>
      </c>
      <c r="AX14" s="9">
        <f>+AX15</f>
        <v>438882</v>
      </c>
      <c r="AY14" s="9">
        <v>68708885.049999982</v>
      </c>
      <c r="AZ14" s="9">
        <f>+AZ15</f>
        <v>484867</v>
      </c>
      <c r="BA14" s="9">
        <f>+BA15</f>
        <v>60024420</v>
      </c>
      <c r="BB14" s="9">
        <f>+BB15</f>
        <v>540872</v>
      </c>
      <c r="BC14" s="9">
        <f>+BC15</f>
        <v>66020720</v>
      </c>
    </row>
    <row r="15" spans="1:55" s="115" customFormat="1" ht="27" x14ac:dyDescent="0.25">
      <c r="A15" s="4"/>
      <c r="B15" s="5"/>
      <c r="C15" s="5"/>
      <c r="D15" s="5"/>
      <c r="E15" s="5"/>
      <c r="F15" s="5"/>
      <c r="G15" s="6">
        <v>2</v>
      </c>
      <c r="H15" s="114" t="s">
        <v>162</v>
      </c>
      <c r="I15" s="211" t="s">
        <v>101</v>
      </c>
      <c r="J15" s="11">
        <v>344557</v>
      </c>
      <c r="K15" s="11">
        <v>241092</v>
      </c>
      <c r="L15" s="11">
        <v>241092</v>
      </c>
      <c r="M15" s="235">
        <v>396583</v>
      </c>
      <c r="N15" s="235">
        <f>290031+O15</f>
        <v>338226</v>
      </c>
      <c r="O15" s="11">
        <f>+Z15</f>
        <v>48195</v>
      </c>
      <c r="P15" s="11">
        <v>0</v>
      </c>
      <c r="Q15" s="11">
        <v>59872</v>
      </c>
      <c r="R15" s="11">
        <v>22941</v>
      </c>
      <c r="S15" s="11">
        <v>23571</v>
      </c>
      <c r="T15" s="11">
        <v>58667</v>
      </c>
      <c r="U15" s="11">
        <v>29596</v>
      </c>
      <c r="V15" s="11">
        <v>21484</v>
      </c>
      <c r="W15" s="11">
        <v>27390</v>
      </c>
      <c r="X15" s="11">
        <v>22943</v>
      </c>
      <c r="Y15" s="235">
        <v>23567</v>
      </c>
      <c r="Z15" s="11">
        <v>48195</v>
      </c>
      <c r="AA15" s="11">
        <v>0</v>
      </c>
      <c r="AB15" s="11"/>
      <c r="AC15" s="11"/>
      <c r="AD15" s="11"/>
      <c r="AE15" s="11"/>
      <c r="AF15" s="11"/>
      <c r="AG15" s="10"/>
      <c r="AH15" s="200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6"/>
      <c r="AT15" s="136"/>
      <c r="AU15" s="136"/>
      <c r="AV15" s="11">
        <v>395250.9</v>
      </c>
      <c r="AW15" s="11">
        <v>49875454</v>
      </c>
      <c r="AX15" s="11">
        <v>438882</v>
      </c>
      <c r="AY15" s="11">
        <v>54209320</v>
      </c>
      <c r="AZ15" s="11">
        <v>484867</v>
      </c>
      <c r="BA15" s="11">
        <v>60024420</v>
      </c>
      <c r="BB15" s="11">
        <v>540872</v>
      </c>
      <c r="BC15" s="11">
        <v>66020720</v>
      </c>
    </row>
    <row r="16" spans="1:55" s="115" customFormat="1" ht="30" x14ac:dyDescent="0.25">
      <c r="A16" s="61"/>
      <c r="B16" s="5">
        <v>99</v>
      </c>
      <c r="C16" s="5"/>
      <c r="D16" s="5"/>
      <c r="E16" s="5"/>
      <c r="F16" s="5"/>
      <c r="G16" s="5"/>
      <c r="H16" s="54" t="s">
        <v>112</v>
      </c>
      <c r="I16" s="6"/>
      <c r="J16" s="11"/>
      <c r="K16" s="11"/>
      <c r="L16" s="11"/>
      <c r="M16" s="235"/>
      <c r="N16" s="235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235"/>
      <c r="Z16" s="11"/>
      <c r="AA16" s="11"/>
      <c r="AB16" s="11"/>
      <c r="AC16" s="11"/>
      <c r="AD16" s="11"/>
      <c r="AE16" s="11"/>
      <c r="AF16" s="11"/>
      <c r="AG16" s="10"/>
      <c r="AH16" s="200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6"/>
      <c r="AT16" s="136"/>
      <c r="AU16" s="136"/>
      <c r="AV16" s="11"/>
      <c r="AW16" s="11"/>
      <c r="AX16" s="11"/>
      <c r="AY16" s="11"/>
      <c r="AZ16" s="11"/>
      <c r="BA16" s="11"/>
      <c r="BB16" s="11"/>
      <c r="BC16" s="11"/>
    </row>
    <row r="17" spans="1:55" s="115" customFormat="1" x14ac:dyDescent="0.25">
      <c r="A17" s="61"/>
      <c r="B17" s="5"/>
      <c r="C17" s="5">
        <v>0</v>
      </c>
      <c r="D17" s="5"/>
      <c r="E17" s="5"/>
      <c r="F17" s="5"/>
      <c r="G17" s="5"/>
      <c r="H17" s="54" t="s">
        <v>30</v>
      </c>
      <c r="I17" s="6"/>
      <c r="J17" s="11"/>
      <c r="K17" s="11"/>
      <c r="L17" s="11"/>
      <c r="M17" s="235"/>
      <c r="N17" s="235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235"/>
      <c r="Z17" s="11"/>
      <c r="AA17" s="11"/>
      <c r="AB17" s="11"/>
      <c r="AC17" s="11"/>
      <c r="AD17" s="11"/>
      <c r="AE17" s="11"/>
      <c r="AF17" s="11"/>
      <c r="AG17" s="10"/>
      <c r="AH17" s="200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6"/>
      <c r="AT17" s="136"/>
      <c r="AU17" s="136"/>
      <c r="AV17" s="11"/>
      <c r="AW17" s="11"/>
      <c r="AX17" s="11"/>
      <c r="AY17" s="11"/>
      <c r="AZ17" s="11"/>
      <c r="BA17" s="11"/>
      <c r="BB17" s="11"/>
      <c r="BC17" s="11"/>
    </row>
    <row r="18" spans="1:55" s="115" customFormat="1" x14ac:dyDescent="0.25">
      <c r="A18" s="61"/>
      <c r="B18" s="5"/>
      <c r="C18" s="5"/>
      <c r="D18" s="5">
        <v>0</v>
      </c>
      <c r="E18" s="5"/>
      <c r="F18" s="5"/>
      <c r="G18" s="5"/>
      <c r="H18" s="54" t="s">
        <v>31</v>
      </c>
      <c r="I18" s="6"/>
      <c r="J18" s="11"/>
      <c r="K18" s="11"/>
      <c r="L18" s="11"/>
      <c r="M18" s="235"/>
      <c r="N18" s="235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235"/>
      <c r="Z18" s="11"/>
      <c r="AA18" s="11"/>
      <c r="AB18" s="11"/>
      <c r="AC18" s="11"/>
      <c r="AD18" s="11"/>
      <c r="AE18" s="11"/>
      <c r="AF18" s="11"/>
      <c r="AG18" s="10"/>
      <c r="AH18" s="200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6"/>
      <c r="AT18" s="136"/>
      <c r="AU18" s="136"/>
      <c r="AV18" s="11"/>
      <c r="AW18" s="11"/>
      <c r="AX18" s="11"/>
      <c r="AY18" s="11"/>
      <c r="AZ18" s="11"/>
      <c r="BA18" s="11"/>
      <c r="BB18" s="11"/>
      <c r="BC18" s="11"/>
    </row>
    <row r="19" spans="1:55" s="115" customFormat="1" ht="30" x14ac:dyDescent="0.25">
      <c r="A19" s="61"/>
      <c r="B19" s="5"/>
      <c r="C19" s="5"/>
      <c r="D19" s="5"/>
      <c r="E19" s="5">
        <v>2</v>
      </c>
      <c r="F19" s="5">
        <v>0</v>
      </c>
      <c r="G19" s="5"/>
      <c r="H19" s="54" t="s">
        <v>44</v>
      </c>
      <c r="I19" s="6"/>
      <c r="J19" s="11"/>
      <c r="K19" s="11"/>
      <c r="L19" s="11"/>
      <c r="M19" s="235"/>
      <c r="N19" s="235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235"/>
      <c r="Z19" s="11"/>
      <c r="AA19" s="11"/>
      <c r="AB19" s="9">
        <v>673180</v>
      </c>
      <c r="AC19" s="9">
        <v>623180</v>
      </c>
      <c r="AD19" s="9">
        <v>623180</v>
      </c>
      <c r="AE19" s="9">
        <v>623180</v>
      </c>
      <c r="AF19" s="9">
        <f>622598.19+AR19</f>
        <v>622598.18999999994</v>
      </c>
      <c r="AG19" s="10">
        <f>+AR19</f>
        <v>0</v>
      </c>
      <c r="AH19" s="200">
        <v>0</v>
      </c>
      <c r="AI19" s="11">
        <v>0</v>
      </c>
      <c r="AJ19" s="11">
        <v>0</v>
      </c>
      <c r="AK19" s="11">
        <v>253349.2</v>
      </c>
      <c r="AL19" s="11">
        <v>552.96</v>
      </c>
      <c r="AM19" s="11">
        <v>0</v>
      </c>
      <c r="AN19" s="11">
        <v>0</v>
      </c>
      <c r="AO19" s="11">
        <v>368696.03</v>
      </c>
      <c r="AP19" s="11">
        <v>0</v>
      </c>
      <c r="AQ19" s="11">
        <v>0</v>
      </c>
      <c r="AR19" s="11">
        <v>0</v>
      </c>
      <c r="AS19" s="16">
        <v>0</v>
      </c>
      <c r="AT19" s="138"/>
      <c r="AU19" s="136"/>
      <c r="AV19" s="11"/>
      <c r="AW19" s="11"/>
      <c r="AX19" s="11"/>
      <c r="AY19" s="11"/>
      <c r="AZ19" s="11"/>
      <c r="BA19" s="11"/>
      <c r="BB19" s="11"/>
      <c r="BC19" s="11"/>
    </row>
    <row r="20" spans="1:55" s="115" customFormat="1" ht="30" x14ac:dyDescent="0.25">
      <c r="A20" s="61"/>
      <c r="B20" s="5"/>
      <c r="C20" s="5"/>
      <c r="D20" s="5"/>
      <c r="E20" s="5"/>
      <c r="F20" s="5"/>
      <c r="G20" s="5" t="s">
        <v>250</v>
      </c>
      <c r="H20" s="54" t="s">
        <v>45</v>
      </c>
      <c r="I20" s="5" t="s">
        <v>43</v>
      </c>
      <c r="J20" s="9">
        <f>J21</f>
        <v>3</v>
      </c>
      <c r="K20" s="9">
        <f>K21</f>
        <v>3</v>
      </c>
      <c r="L20" s="9">
        <f>L21</f>
        <v>3</v>
      </c>
      <c r="M20" s="236">
        <f>M21</f>
        <v>3</v>
      </c>
      <c r="N20" s="236">
        <f>SUM(P20:AA20)</f>
        <v>3</v>
      </c>
      <c r="O20" s="9">
        <f>+Z20</f>
        <v>0</v>
      </c>
      <c r="P20" s="9">
        <f>P21</f>
        <v>0</v>
      </c>
      <c r="Q20" s="9">
        <f t="shared" ref="Q20:AA20" si="2">Q21</f>
        <v>0</v>
      </c>
      <c r="R20" s="9">
        <f t="shared" si="2"/>
        <v>0</v>
      </c>
      <c r="S20" s="9">
        <f t="shared" si="2"/>
        <v>0</v>
      </c>
      <c r="T20" s="9">
        <f t="shared" si="2"/>
        <v>0</v>
      </c>
      <c r="U20" s="9">
        <f t="shared" si="2"/>
        <v>0</v>
      </c>
      <c r="V20" s="9">
        <f t="shared" si="2"/>
        <v>0</v>
      </c>
      <c r="W20" s="9">
        <f t="shared" si="2"/>
        <v>0</v>
      </c>
      <c r="X20" s="9">
        <f t="shared" si="2"/>
        <v>1</v>
      </c>
      <c r="Y20" s="236">
        <v>2</v>
      </c>
      <c r="Z20" s="9">
        <f t="shared" si="2"/>
        <v>0</v>
      </c>
      <c r="AA20" s="9">
        <f t="shared" si="2"/>
        <v>0</v>
      </c>
      <c r="AB20" s="11"/>
      <c r="AC20" s="11"/>
      <c r="AD20" s="11"/>
      <c r="AE20" s="11"/>
      <c r="AF20" s="11"/>
      <c r="AG20" s="16"/>
      <c r="AH20" s="200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10"/>
      <c r="AT20" s="136"/>
      <c r="AU20" s="136"/>
      <c r="AV20" s="9">
        <f>+AV21</f>
        <v>3</v>
      </c>
      <c r="AW20" s="9">
        <f>+AW21</f>
        <v>673180</v>
      </c>
      <c r="AX20" s="9">
        <f>+AX21</f>
        <v>3</v>
      </c>
      <c r="AY20" s="9">
        <v>721408</v>
      </c>
      <c r="AZ20" s="9">
        <f>+AZ21</f>
        <v>3</v>
      </c>
      <c r="BA20" s="9">
        <f>+BA21</f>
        <v>673180</v>
      </c>
      <c r="BB20" s="9">
        <f>+BB21</f>
        <v>3</v>
      </c>
      <c r="BC20" s="9">
        <f>+BC21</f>
        <v>673180</v>
      </c>
    </row>
    <row r="21" spans="1:55" s="115" customFormat="1" ht="27.75" thickBot="1" x14ac:dyDescent="0.3">
      <c r="A21" s="62"/>
      <c r="B21" s="113"/>
      <c r="C21" s="113"/>
      <c r="D21" s="113"/>
      <c r="E21" s="113"/>
      <c r="F21" s="113"/>
      <c r="G21" s="113"/>
      <c r="H21" s="64" t="s">
        <v>45</v>
      </c>
      <c r="I21" s="63" t="s">
        <v>43</v>
      </c>
      <c r="J21" s="15">
        <v>3</v>
      </c>
      <c r="K21" s="15">
        <v>3</v>
      </c>
      <c r="L21" s="15">
        <v>3</v>
      </c>
      <c r="M21" s="237">
        <v>3</v>
      </c>
      <c r="N21" s="237">
        <f>+SUM(P21:AA21)</f>
        <v>3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1</v>
      </c>
      <c r="Y21" s="237">
        <v>2</v>
      </c>
      <c r="Z21" s="15">
        <v>0</v>
      </c>
      <c r="AA21" s="15">
        <v>0</v>
      </c>
      <c r="AB21" s="15"/>
      <c r="AC21" s="15"/>
      <c r="AD21" s="15"/>
      <c r="AE21" s="15"/>
      <c r="AF21" s="15"/>
      <c r="AG21" s="17"/>
      <c r="AH21" s="201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7"/>
      <c r="AT21" s="136"/>
      <c r="AU21" s="136"/>
      <c r="AV21" s="11">
        <v>3</v>
      </c>
      <c r="AW21" s="11">
        <v>673180</v>
      </c>
      <c r="AX21" s="11">
        <v>3</v>
      </c>
      <c r="AY21" s="11">
        <v>673180</v>
      </c>
      <c r="AZ21" s="11">
        <v>3</v>
      </c>
      <c r="BA21" s="11">
        <v>673180</v>
      </c>
      <c r="BB21" s="11">
        <v>3</v>
      </c>
      <c r="BC21" s="11">
        <v>673180</v>
      </c>
    </row>
    <row r="22" spans="1:55" s="115" customFormat="1" ht="13.5" x14ac:dyDescent="0.25">
      <c r="M22" s="239"/>
      <c r="N22" s="239"/>
      <c r="Y22" s="239"/>
    </row>
    <row r="23" spans="1:55" s="115" customFormat="1" ht="13.5" x14ac:dyDescent="0.25">
      <c r="M23" s="239"/>
      <c r="N23" s="239"/>
      <c r="Y23" s="239"/>
    </row>
    <row r="24" spans="1:55" s="115" customFormat="1" ht="13.5" x14ac:dyDescent="0.25">
      <c r="H24" s="157" t="s">
        <v>223</v>
      </c>
      <c r="M24" s="239"/>
      <c r="N24" s="239"/>
      <c r="Y24" s="239"/>
    </row>
    <row r="25" spans="1:55" s="115" customFormat="1" ht="13.5" x14ac:dyDescent="0.25">
      <c r="H25" s="157" t="s">
        <v>226</v>
      </c>
      <c r="M25" s="239"/>
      <c r="N25" s="239"/>
      <c r="Y25" s="239"/>
    </row>
    <row r="26" spans="1:55" s="115" customFormat="1" ht="13.5" x14ac:dyDescent="0.25">
      <c r="M26" s="239"/>
      <c r="N26" s="239"/>
      <c r="Y26" s="239"/>
    </row>
    <row r="27" spans="1:55" s="115" customFormat="1" ht="13.5" x14ac:dyDescent="0.25">
      <c r="M27" s="239"/>
      <c r="N27" s="239"/>
      <c r="Y27" s="239"/>
    </row>
    <row r="28" spans="1:55" s="115" customFormat="1" ht="13.5" x14ac:dyDescent="0.25">
      <c r="M28" s="239"/>
      <c r="N28" s="239"/>
      <c r="Y28" s="239"/>
    </row>
    <row r="29" spans="1:55" s="115" customFormat="1" ht="13.5" x14ac:dyDescent="0.25">
      <c r="M29" s="239"/>
      <c r="N29" s="239"/>
      <c r="Y29" s="239"/>
    </row>
    <row r="30" spans="1:55" s="115" customFormat="1" ht="13.5" x14ac:dyDescent="0.25">
      <c r="M30" s="239"/>
      <c r="N30" s="239"/>
      <c r="Y30" s="239"/>
    </row>
    <row r="31" spans="1:55" s="115" customFormat="1" ht="13.5" x14ac:dyDescent="0.25">
      <c r="M31" s="239"/>
      <c r="N31" s="239"/>
      <c r="Y31" s="239"/>
    </row>
    <row r="32" spans="1:55" s="115" customFormat="1" ht="13.5" x14ac:dyDescent="0.25">
      <c r="M32" s="239"/>
      <c r="N32" s="239"/>
      <c r="Y32" s="239"/>
    </row>
    <row r="33" spans="13:25" s="115" customFormat="1" ht="13.5" x14ac:dyDescent="0.25">
      <c r="M33" s="239"/>
      <c r="N33" s="239"/>
      <c r="Y33" s="239"/>
    </row>
    <row r="34" spans="13:25" s="115" customFormat="1" ht="13.5" x14ac:dyDescent="0.25">
      <c r="M34" s="239"/>
      <c r="N34" s="239"/>
      <c r="Y34" s="239"/>
    </row>
    <row r="35" spans="13:25" s="115" customFormat="1" ht="13.5" x14ac:dyDescent="0.25">
      <c r="M35" s="239"/>
      <c r="N35" s="239"/>
      <c r="Y35" s="239"/>
    </row>
    <row r="36" spans="13:25" s="115" customFormat="1" ht="13.5" x14ac:dyDescent="0.25">
      <c r="M36" s="239"/>
      <c r="N36" s="239"/>
      <c r="Y36" s="239"/>
    </row>
    <row r="37" spans="13:25" s="115" customFormat="1" ht="13.5" x14ac:dyDescent="0.25">
      <c r="M37" s="239"/>
      <c r="N37" s="239"/>
      <c r="Y37" s="239"/>
    </row>
    <row r="38" spans="13:25" s="115" customFormat="1" ht="13.5" x14ac:dyDescent="0.25">
      <c r="M38" s="239"/>
      <c r="N38" s="239"/>
      <c r="Y38" s="239"/>
    </row>
    <row r="39" spans="13:25" s="115" customFormat="1" ht="13.5" x14ac:dyDescent="0.25">
      <c r="M39" s="239"/>
      <c r="N39" s="239"/>
      <c r="Y39" s="239"/>
    </row>
    <row r="40" spans="13:25" s="115" customFormat="1" ht="13.5" x14ac:dyDescent="0.25">
      <c r="M40" s="239"/>
      <c r="N40" s="239"/>
      <c r="Y40" s="239"/>
    </row>
    <row r="41" spans="13:25" s="115" customFormat="1" ht="13.5" x14ac:dyDescent="0.25">
      <c r="M41" s="239"/>
      <c r="N41" s="239"/>
      <c r="Y41" s="239"/>
    </row>
    <row r="42" spans="13:25" s="115" customFormat="1" ht="13.5" x14ac:dyDescent="0.25">
      <c r="M42" s="239"/>
      <c r="N42" s="239"/>
      <c r="Y42" s="239"/>
    </row>
    <row r="43" spans="13:25" s="115" customFormat="1" ht="13.5" x14ac:dyDescent="0.25">
      <c r="M43" s="239"/>
      <c r="N43" s="239"/>
      <c r="Y43" s="239"/>
    </row>
    <row r="44" spans="13:25" s="115" customFormat="1" ht="13.5" x14ac:dyDescent="0.25">
      <c r="M44" s="239"/>
      <c r="N44" s="239"/>
      <c r="Y44" s="239"/>
    </row>
    <row r="45" spans="13:25" s="115" customFormat="1" ht="13.5" x14ac:dyDescent="0.25">
      <c r="M45" s="239"/>
      <c r="N45" s="239"/>
      <c r="Y45" s="239"/>
    </row>
    <row r="46" spans="13:25" s="115" customFormat="1" ht="13.5" x14ac:dyDescent="0.25">
      <c r="M46" s="239"/>
      <c r="N46" s="239"/>
      <c r="Y46" s="239"/>
    </row>
    <row r="47" spans="13:25" s="115" customFormat="1" ht="13.5" x14ac:dyDescent="0.25">
      <c r="M47" s="239"/>
      <c r="N47" s="239"/>
      <c r="Y47" s="239"/>
    </row>
    <row r="48" spans="13:25" s="115" customFormat="1" ht="13.5" x14ac:dyDescent="0.25">
      <c r="M48" s="239"/>
      <c r="N48" s="239"/>
      <c r="Y48" s="239"/>
    </row>
    <row r="49" spans="13:25" s="115" customFormat="1" ht="13.5" x14ac:dyDescent="0.25">
      <c r="M49" s="239"/>
      <c r="N49" s="239"/>
      <c r="Y49" s="239"/>
    </row>
    <row r="50" spans="13:25" s="115" customFormat="1" ht="13.5" x14ac:dyDescent="0.25">
      <c r="M50" s="239"/>
      <c r="N50" s="239"/>
      <c r="Y50" s="239"/>
    </row>
    <row r="51" spans="13:25" s="115" customFormat="1" ht="13.5" x14ac:dyDescent="0.25">
      <c r="M51" s="239"/>
      <c r="N51" s="239"/>
      <c r="Y51" s="239"/>
    </row>
    <row r="52" spans="13:25" s="115" customFormat="1" ht="13.5" x14ac:dyDescent="0.25">
      <c r="M52" s="239"/>
      <c r="N52" s="239"/>
      <c r="Y52" s="239"/>
    </row>
    <row r="53" spans="13:25" s="115" customFormat="1" ht="13.5" x14ac:dyDescent="0.25">
      <c r="M53" s="239"/>
      <c r="N53" s="239"/>
      <c r="Y53" s="239"/>
    </row>
    <row r="54" spans="13:25" s="115" customFormat="1" ht="13.5" x14ac:dyDescent="0.25">
      <c r="M54" s="239"/>
      <c r="N54" s="239"/>
      <c r="Y54" s="239"/>
    </row>
    <row r="55" spans="13:25" s="115" customFormat="1" ht="13.5" x14ac:dyDescent="0.25">
      <c r="M55" s="239"/>
      <c r="N55" s="239"/>
      <c r="Y55" s="239"/>
    </row>
  </sheetData>
  <mergeCells count="7">
    <mergeCell ref="AX5:AY5"/>
    <mergeCell ref="AZ5:BA5"/>
    <mergeCell ref="BB5:BC5"/>
    <mergeCell ref="A5:I5"/>
    <mergeCell ref="J5:O5"/>
    <mergeCell ref="AB5:AG5"/>
    <mergeCell ref="AV5:AW5"/>
  </mergeCells>
  <pageMargins left="0.7" right="0.7" top="0.75" bottom="0.75" header="0.3" footer="0.3"/>
  <ignoredErrors>
    <ignoredError sqref="AF11:AF12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tabColor theme="4" tint="0.39997558519241921"/>
  </sheetPr>
  <dimension ref="A1:BB34"/>
  <sheetViews>
    <sheetView zoomScale="85" zoomScaleNormal="85" workbookViewId="0">
      <pane xSplit="8" ySplit="6" topLeftCell="I21" activePane="bottomRight" state="frozen"/>
      <selection activeCell="J1" sqref="J1:K1048576"/>
      <selection pane="topRight" activeCell="J1" sqref="J1:K1048576"/>
      <selection pane="bottomLeft" activeCell="J1" sqref="J1:K1048576"/>
      <selection pane="bottomRight" activeCell="M25" sqref="M25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hidden="1" customWidth="1"/>
    <col min="12" max="13" width="10.7109375" customWidth="1"/>
    <col min="14" max="15" width="13.7109375" customWidth="1"/>
    <col min="16" max="27" width="13.7109375" hidden="1" customWidth="1"/>
    <col min="28" max="31" width="13.7109375" customWidth="1"/>
    <col min="32" max="32" width="13.7109375" style="224" customWidth="1"/>
    <col min="33" max="33" width="13.7109375" customWidth="1"/>
    <col min="34" max="42" width="13.7109375" hidden="1" customWidth="1"/>
    <col min="43" max="43" width="13.7109375" style="224" hidden="1" customWidth="1"/>
    <col min="44" max="44" width="13.7109375" hidden="1" customWidth="1"/>
    <col min="45" max="46" width="13.7109375" customWidth="1"/>
    <col min="47" max="47" width="10.7109375" customWidth="1"/>
    <col min="48" max="48" width="15.7109375" customWidth="1"/>
    <col min="49" max="49" width="10.7109375" customWidth="1"/>
    <col min="50" max="50" width="15.7109375" customWidth="1"/>
    <col min="51" max="51" width="10.7109375" customWidth="1"/>
    <col min="52" max="52" width="15.7109375" customWidth="1"/>
    <col min="53" max="53" width="10.7109375" customWidth="1"/>
    <col min="54" max="54" width="15.7109375" customWidth="1"/>
  </cols>
  <sheetData>
    <row r="1" spans="1:54" ht="15" customHeight="1" x14ac:dyDescent="0.25">
      <c r="A1" s="32" t="s">
        <v>49</v>
      </c>
    </row>
    <row r="2" spans="1:54" ht="15" customHeight="1" x14ac:dyDescent="0.25">
      <c r="A2" s="32" t="s">
        <v>50</v>
      </c>
    </row>
    <row r="3" spans="1:54" ht="15" customHeight="1" x14ac:dyDescent="0.25">
      <c r="A3" s="32" t="e">
        <f>#REF!</f>
        <v>#REF!</v>
      </c>
    </row>
    <row r="4" spans="1:54" ht="15" customHeight="1" thickBot="1" x14ac:dyDescent="0.3"/>
    <row r="5" spans="1:54" x14ac:dyDescent="0.25">
      <c r="A5" s="333" t="s">
        <v>163</v>
      </c>
      <c r="B5" s="330"/>
      <c r="C5" s="330"/>
      <c r="D5" s="330"/>
      <c r="E5" s="330"/>
      <c r="F5" s="330"/>
      <c r="G5" s="330"/>
      <c r="H5" s="330"/>
      <c r="I5" s="330"/>
      <c r="J5" s="330" t="s">
        <v>1</v>
      </c>
      <c r="K5" s="330"/>
      <c r="L5" s="330"/>
      <c r="M5" s="330"/>
      <c r="N5" s="330"/>
      <c r="O5" s="330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30" t="s">
        <v>2</v>
      </c>
      <c r="AC5" s="330"/>
      <c r="AD5" s="330"/>
      <c r="AE5" s="330"/>
      <c r="AF5" s="330"/>
      <c r="AG5" s="330"/>
      <c r="AH5" s="39"/>
      <c r="AI5" s="39"/>
      <c r="AJ5" s="39"/>
      <c r="AK5" s="39"/>
      <c r="AL5" s="39"/>
      <c r="AM5" s="39"/>
      <c r="AN5" s="39"/>
      <c r="AO5" s="39"/>
      <c r="AP5" s="39"/>
      <c r="AQ5" s="273"/>
      <c r="AR5" s="162"/>
      <c r="AS5" s="40"/>
      <c r="AT5" s="51"/>
      <c r="AU5" s="327" t="s">
        <v>51</v>
      </c>
      <c r="AV5" s="327"/>
      <c r="AW5" s="327" t="s">
        <v>52</v>
      </c>
      <c r="AX5" s="327"/>
      <c r="AY5" s="327" t="s">
        <v>53</v>
      </c>
      <c r="AZ5" s="327"/>
      <c r="BA5" s="327" t="s">
        <v>55</v>
      </c>
      <c r="BB5" s="327"/>
    </row>
    <row r="6" spans="1:54" s="7" customFormat="1" ht="34.5" thickBot="1" x14ac:dyDescent="0.3">
      <c r="A6" s="280" t="s">
        <v>3</v>
      </c>
      <c r="B6" s="279" t="s">
        <v>4</v>
      </c>
      <c r="C6" s="279" t="s">
        <v>5</v>
      </c>
      <c r="D6" s="279" t="s">
        <v>6</v>
      </c>
      <c r="E6" s="279" t="s">
        <v>7</v>
      </c>
      <c r="F6" s="279" t="s">
        <v>8</v>
      </c>
      <c r="G6" s="279" t="s">
        <v>9</v>
      </c>
      <c r="H6" s="247" t="s">
        <v>10</v>
      </c>
      <c r="I6" s="248" t="s">
        <v>11</v>
      </c>
      <c r="J6" s="249" t="s">
        <v>12</v>
      </c>
      <c r="K6" s="249" t="s">
        <v>65</v>
      </c>
      <c r="L6" s="249" t="s">
        <v>13</v>
      </c>
      <c r="M6" s="250" t="s">
        <v>14</v>
      </c>
      <c r="N6" s="250" t="s">
        <v>15</v>
      </c>
      <c r="O6" s="250" t="s">
        <v>16</v>
      </c>
      <c r="P6" s="250" t="s">
        <v>17</v>
      </c>
      <c r="Q6" s="250" t="s">
        <v>18</v>
      </c>
      <c r="R6" s="250" t="s">
        <v>19</v>
      </c>
      <c r="S6" s="250" t="s">
        <v>20</v>
      </c>
      <c r="T6" s="250" t="s">
        <v>21</v>
      </c>
      <c r="U6" s="250" t="s">
        <v>22</v>
      </c>
      <c r="V6" s="250" t="s">
        <v>23</v>
      </c>
      <c r="W6" s="250" t="s">
        <v>24</v>
      </c>
      <c r="X6" s="250" t="s">
        <v>25</v>
      </c>
      <c r="Y6" s="250" t="s">
        <v>26</v>
      </c>
      <c r="Z6" s="250" t="s">
        <v>27</v>
      </c>
      <c r="AA6" s="250" t="s">
        <v>28</v>
      </c>
      <c r="AB6" s="249" t="s">
        <v>12</v>
      </c>
      <c r="AC6" s="249" t="s">
        <v>65</v>
      </c>
      <c r="AD6" s="249" t="s">
        <v>13</v>
      </c>
      <c r="AE6" s="249" t="s">
        <v>14</v>
      </c>
      <c r="AF6" s="271" t="s">
        <v>15</v>
      </c>
      <c r="AG6" s="250" t="s">
        <v>16</v>
      </c>
      <c r="AH6" s="250" t="s">
        <v>17</v>
      </c>
      <c r="AI6" s="250" t="s">
        <v>18</v>
      </c>
      <c r="AJ6" s="250" t="s">
        <v>19</v>
      </c>
      <c r="AK6" s="250" t="s">
        <v>20</v>
      </c>
      <c r="AL6" s="250" t="s">
        <v>21</v>
      </c>
      <c r="AM6" s="250" t="s">
        <v>22</v>
      </c>
      <c r="AN6" s="250" t="s">
        <v>23</v>
      </c>
      <c r="AO6" s="250" t="s">
        <v>24</v>
      </c>
      <c r="AP6" s="250" t="s">
        <v>25</v>
      </c>
      <c r="AQ6" s="274" t="s">
        <v>26</v>
      </c>
      <c r="AR6" s="30" t="s">
        <v>27</v>
      </c>
      <c r="AS6" s="29" t="s">
        <v>28</v>
      </c>
      <c r="AT6" s="95"/>
      <c r="AU6" s="70" t="s">
        <v>54</v>
      </c>
      <c r="AV6" s="70" t="s">
        <v>2</v>
      </c>
      <c r="AW6" s="70" t="s">
        <v>54</v>
      </c>
      <c r="AX6" s="70" t="s">
        <v>2</v>
      </c>
      <c r="AY6" s="70" t="s">
        <v>54</v>
      </c>
      <c r="AZ6" s="70" t="s">
        <v>2</v>
      </c>
      <c r="BA6" s="70" t="s">
        <v>54</v>
      </c>
      <c r="BB6" s="70" t="s">
        <v>2</v>
      </c>
    </row>
    <row r="7" spans="1:54" x14ac:dyDescent="0.25">
      <c r="A7" s="4"/>
      <c r="B7" s="5">
        <v>22</v>
      </c>
      <c r="C7" s="5"/>
      <c r="D7" s="5"/>
      <c r="E7" s="6"/>
      <c r="F7" s="6"/>
      <c r="G7" s="6"/>
      <c r="H7" s="54" t="s">
        <v>164</v>
      </c>
      <c r="I7" s="211"/>
      <c r="J7" s="144"/>
      <c r="K7" s="144"/>
      <c r="L7" s="144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9"/>
      <c r="AC7" s="9"/>
      <c r="AD7" s="9"/>
      <c r="AE7" s="11"/>
      <c r="AF7" s="235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276"/>
      <c r="AR7" s="199"/>
      <c r="AS7" s="23"/>
      <c r="AT7" s="127"/>
      <c r="AU7" s="11"/>
      <c r="AV7" s="130"/>
      <c r="AW7" s="11"/>
      <c r="AX7" s="130"/>
      <c r="AY7" s="11"/>
      <c r="AZ7" s="130"/>
      <c r="BA7" s="11"/>
      <c r="BB7" s="131"/>
    </row>
    <row r="8" spans="1:54" x14ac:dyDescent="0.25">
      <c r="A8" s="4"/>
      <c r="B8" s="5"/>
      <c r="C8" s="5">
        <v>0</v>
      </c>
      <c r="D8" s="5"/>
      <c r="E8" s="6"/>
      <c r="F8" s="6"/>
      <c r="G8" s="6"/>
      <c r="H8" s="54" t="s">
        <v>30</v>
      </c>
      <c r="I8" s="211"/>
      <c r="J8" s="144"/>
      <c r="K8" s="144"/>
      <c r="L8" s="144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9"/>
      <c r="AC8" s="9"/>
      <c r="AD8" s="9"/>
      <c r="AE8" s="11"/>
      <c r="AF8" s="235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276"/>
      <c r="AR8" s="200"/>
      <c r="AS8" s="16"/>
      <c r="AT8" s="127"/>
      <c r="AU8" s="11"/>
      <c r="AV8" s="130"/>
      <c r="AW8" s="11"/>
      <c r="AX8" s="130"/>
      <c r="AY8" s="11"/>
      <c r="AZ8" s="130"/>
      <c r="BA8" s="11"/>
      <c r="BB8" s="131"/>
    </row>
    <row r="9" spans="1:54" x14ac:dyDescent="0.25">
      <c r="A9" s="4"/>
      <c r="B9" s="5"/>
      <c r="C9" s="5"/>
      <c r="D9" s="5">
        <v>0</v>
      </c>
      <c r="E9" s="6"/>
      <c r="F9" s="6"/>
      <c r="G9" s="6"/>
      <c r="H9" s="54" t="s">
        <v>31</v>
      </c>
      <c r="I9" s="2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235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276"/>
      <c r="AR9" s="200"/>
      <c r="AS9" s="16"/>
      <c r="AT9" s="127"/>
      <c r="AU9" s="11"/>
      <c r="AV9" s="130"/>
      <c r="AW9" s="11"/>
      <c r="AX9" s="130"/>
      <c r="AY9" s="11"/>
      <c r="AZ9" s="130"/>
      <c r="BA9" s="11"/>
      <c r="BB9" s="131"/>
    </row>
    <row r="10" spans="1:54" x14ac:dyDescent="0.25">
      <c r="A10" s="4"/>
      <c r="B10" s="5"/>
      <c r="C10" s="5"/>
      <c r="D10" s="5"/>
      <c r="E10" s="5">
        <v>1</v>
      </c>
      <c r="F10" s="5">
        <v>0</v>
      </c>
      <c r="G10" s="5"/>
      <c r="H10" s="54" t="s">
        <v>59</v>
      </c>
      <c r="I10" s="2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9">
        <v>16768136.760000004</v>
      </c>
      <c r="AC10" s="9">
        <v>10725511</v>
      </c>
      <c r="AD10" s="9">
        <v>10725511</v>
      </c>
      <c r="AE10" s="9">
        <v>16842797</v>
      </c>
      <c r="AF10" s="236">
        <f>10054873.9+AG10</f>
        <v>11645521.93</v>
      </c>
      <c r="AG10" s="9">
        <f>+AR10</f>
        <v>1590648.03</v>
      </c>
      <c r="AH10" s="11">
        <v>845180.47</v>
      </c>
      <c r="AI10" s="11">
        <v>880428.96</v>
      </c>
      <c r="AJ10" s="11">
        <v>885433.94</v>
      </c>
      <c r="AK10" s="11">
        <v>790022.77</v>
      </c>
      <c r="AL10" s="11">
        <v>922954.03</v>
      </c>
      <c r="AM10" s="11">
        <v>577126.09</v>
      </c>
      <c r="AN10" s="11">
        <v>1767483.11</v>
      </c>
      <c r="AO10" s="11">
        <v>409400.54</v>
      </c>
      <c r="AP10" s="11">
        <v>236038.19</v>
      </c>
      <c r="AQ10" s="276">
        <v>1394058.64</v>
      </c>
      <c r="AR10" s="200">
        <v>1590648.03</v>
      </c>
      <c r="AS10" s="16">
        <v>0</v>
      </c>
      <c r="AT10" s="127"/>
      <c r="AU10" s="9">
        <v>70</v>
      </c>
      <c r="AV10" s="128">
        <v>8125759</v>
      </c>
      <c r="AW10" s="9">
        <v>66</v>
      </c>
      <c r="AX10" s="128">
        <v>8344643</v>
      </c>
      <c r="AY10" s="9">
        <v>63</v>
      </c>
      <c r="AZ10" s="128">
        <v>8420662</v>
      </c>
      <c r="BA10" s="9">
        <v>79</v>
      </c>
      <c r="BB10" s="129">
        <v>8450158</v>
      </c>
    </row>
    <row r="11" spans="1:54" x14ac:dyDescent="0.25">
      <c r="A11" s="4">
        <v>4</v>
      </c>
      <c r="B11" s="5"/>
      <c r="C11" s="5"/>
      <c r="D11" s="5"/>
      <c r="E11" s="6"/>
      <c r="F11" s="6"/>
      <c r="G11" s="5">
        <v>1</v>
      </c>
      <c r="H11" s="54" t="s">
        <v>60</v>
      </c>
      <c r="I11" s="254" t="s">
        <v>34</v>
      </c>
      <c r="J11" s="9">
        <f>J12</f>
        <v>144</v>
      </c>
      <c r="K11" s="9">
        <f>K12</f>
        <v>144</v>
      </c>
      <c r="L11" s="9">
        <f>L12</f>
        <v>144</v>
      </c>
      <c r="M11" s="9">
        <v>118</v>
      </c>
      <c r="N11" s="9">
        <f>SUM(P11:AA11)</f>
        <v>113</v>
      </c>
      <c r="O11" s="9">
        <f>+Z11</f>
        <v>0</v>
      </c>
      <c r="P11" s="9">
        <f t="shared" ref="P11:AA11" si="0">+P12</f>
        <v>0</v>
      </c>
      <c r="Q11" s="9">
        <f t="shared" si="0"/>
        <v>48</v>
      </c>
      <c r="R11" s="9">
        <f t="shared" si="0"/>
        <v>0</v>
      </c>
      <c r="S11" s="9">
        <f t="shared" si="0"/>
        <v>5</v>
      </c>
      <c r="T11" s="9">
        <f t="shared" si="0"/>
        <v>28</v>
      </c>
      <c r="U11" s="9">
        <f t="shared" si="0"/>
        <v>0</v>
      </c>
      <c r="V11" s="9">
        <f t="shared" si="0"/>
        <v>27</v>
      </c>
      <c r="W11" s="9">
        <f t="shared" si="0"/>
        <v>0</v>
      </c>
      <c r="X11" s="9">
        <f t="shared" si="0"/>
        <v>5</v>
      </c>
      <c r="Y11" s="9">
        <f t="shared" si="0"/>
        <v>0</v>
      </c>
      <c r="Z11" s="9">
        <f t="shared" si="0"/>
        <v>0</v>
      </c>
      <c r="AA11" s="9">
        <f t="shared" si="0"/>
        <v>0</v>
      </c>
      <c r="AB11" s="9"/>
      <c r="AC11" s="9"/>
      <c r="AD11" s="9"/>
      <c r="AE11" s="9"/>
      <c r="AF11" s="236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275"/>
      <c r="AR11" s="164"/>
      <c r="AS11" s="10"/>
      <c r="AT11" s="127"/>
      <c r="AU11" s="11"/>
      <c r="AV11" s="130"/>
      <c r="AW11" s="11"/>
      <c r="AX11" s="130"/>
      <c r="AY11" s="11"/>
      <c r="AZ11" s="130"/>
      <c r="BA11" s="11"/>
      <c r="BB11" s="131"/>
    </row>
    <row r="12" spans="1:54" x14ac:dyDescent="0.25">
      <c r="A12" s="4"/>
      <c r="B12" s="5"/>
      <c r="C12" s="5"/>
      <c r="D12" s="5"/>
      <c r="E12" s="6"/>
      <c r="F12" s="6"/>
      <c r="G12" s="6">
        <v>2</v>
      </c>
      <c r="H12" s="114" t="s">
        <v>60</v>
      </c>
      <c r="I12" s="211" t="s">
        <v>34</v>
      </c>
      <c r="J12" s="11">
        <v>144</v>
      </c>
      <c r="K12" s="11">
        <v>144</v>
      </c>
      <c r="L12" s="11">
        <v>144</v>
      </c>
      <c r="M12" s="11">
        <v>118</v>
      </c>
      <c r="N12" s="9">
        <f>SUM(P12:AA12)</f>
        <v>113</v>
      </c>
      <c r="O12" s="9">
        <f>+Z12</f>
        <v>0</v>
      </c>
      <c r="P12" s="11">
        <v>0</v>
      </c>
      <c r="Q12" s="11">
        <v>48</v>
      </c>
      <c r="R12" s="11">
        <v>0</v>
      </c>
      <c r="S12" s="11">
        <v>5</v>
      </c>
      <c r="T12" s="11">
        <v>28</v>
      </c>
      <c r="U12" s="11">
        <v>0</v>
      </c>
      <c r="V12" s="11">
        <v>27</v>
      </c>
      <c r="W12" s="11">
        <v>0</v>
      </c>
      <c r="X12" s="11">
        <v>5</v>
      </c>
      <c r="Y12" s="11">
        <v>0</v>
      </c>
      <c r="Z12" s="11">
        <v>0</v>
      </c>
      <c r="AA12" s="11">
        <v>0</v>
      </c>
      <c r="AB12" s="9"/>
      <c r="AC12" s="9"/>
      <c r="AD12" s="9"/>
      <c r="AE12" s="9"/>
      <c r="AF12" s="236"/>
      <c r="AG12" s="9"/>
      <c r="AH12" s="9"/>
      <c r="AI12" s="9"/>
      <c r="AJ12" s="9"/>
      <c r="AK12" s="9"/>
      <c r="AL12" s="11"/>
      <c r="AM12" s="11"/>
      <c r="AN12" s="11"/>
      <c r="AO12" s="11"/>
      <c r="AP12" s="11"/>
      <c r="AQ12" s="276"/>
      <c r="AR12" s="200"/>
      <c r="AS12" s="16"/>
      <c r="AT12" s="127"/>
      <c r="AU12" s="11"/>
      <c r="AV12" s="130"/>
      <c r="AW12" s="11"/>
      <c r="AX12" s="130"/>
      <c r="AY12" s="11"/>
      <c r="AZ12" s="130"/>
      <c r="BA12" s="11"/>
      <c r="BB12" s="131"/>
    </row>
    <row r="13" spans="1:54" x14ac:dyDescent="0.25">
      <c r="A13" s="4"/>
      <c r="B13" s="5"/>
      <c r="C13" s="5"/>
      <c r="D13" s="5"/>
      <c r="E13" s="5">
        <v>2</v>
      </c>
      <c r="F13" s="5">
        <v>0</v>
      </c>
      <c r="G13" s="5"/>
      <c r="H13" s="54" t="s">
        <v>165</v>
      </c>
      <c r="I13" s="211"/>
      <c r="J13" s="11"/>
      <c r="K13" s="11"/>
      <c r="L13" s="11"/>
      <c r="M13" s="11"/>
      <c r="N13" s="11"/>
      <c r="O13" s="9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9">
        <v>2259862.08</v>
      </c>
      <c r="AC13" s="9">
        <v>1950925</v>
      </c>
      <c r="AD13" s="9">
        <v>1950925</v>
      </c>
      <c r="AE13" s="9">
        <v>1902025</v>
      </c>
      <c r="AF13" s="236">
        <f>1142303.49+AG13</f>
        <v>1246225.49</v>
      </c>
      <c r="AG13" s="9">
        <f>+AR13</f>
        <v>103922</v>
      </c>
      <c r="AH13" s="11">
        <v>129168.11</v>
      </c>
      <c r="AI13" s="11">
        <v>107715</v>
      </c>
      <c r="AJ13" s="11">
        <v>105967.2</v>
      </c>
      <c r="AK13" s="11">
        <v>102190</v>
      </c>
      <c r="AL13" s="11">
        <v>102190</v>
      </c>
      <c r="AM13" s="11">
        <v>130</v>
      </c>
      <c r="AN13" s="11">
        <v>4282.2</v>
      </c>
      <c r="AO13" s="11">
        <v>13767.5</v>
      </c>
      <c r="AP13" s="11">
        <v>2558.3000000000002</v>
      </c>
      <c r="AQ13" s="276">
        <v>104496.52</v>
      </c>
      <c r="AR13" s="200">
        <v>103922</v>
      </c>
      <c r="AS13" s="16">
        <v>0</v>
      </c>
      <c r="AT13" s="127"/>
      <c r="AU13" s="9">
        <v>25</v>
      </c>
      <c r="AV13" s="128">
        <v>2246011.4300000002</v>
      </c>
      <c r="AW13" s="9">
        <v>20</v>
      </c>
      <c r="AX13" s="128">
        <v>2335025</v>
      </c>
      <c r="AY13" s="9">
        <v>20</v>
      </c>
      <c r="AZ13" s="128">
        <v>2435484.87</v>
      </c>
      <c r="BA13" s="9">
        <v>20</v>
      </c>
      <c r="BB13" s="129">
        <v>2567374.8699999996</v>
      </c>
    </row>
    <row r="14" spans="1:54" ht="30" x14ac:dyDescent="0.25">
      <c r="A14" s="4">
        <v>4</v>
      </c>
      <c r="B14" s="5"/>
      <c r="C14" s="5"/>
      <c r="D14" s="5"/>
      <c r="E14" s="6"/>
      <c r="F14" s="6"/>
      <c r="G14" s="5">
        <v>1</v>
      </c>
      <c r="H14" s="54" t="s">
        <v>166</v>
      </c>
      <c r="I14" s="254" t="s">
        <v>64</v>
      </c>
      <c r="J14" s="9">
        <f t="shared" ref="J14:AA14" si="1">+J15+J16+J17</f>
        <v>23</v>
      </c>
      <c r="K14" s="9">
        <f t="shared" si="1"/>
        <v>23</v>
      </c>
      <c r="L14" s="9">
        <f t="shared" si="1"/>
        <v>23</v>
      </c>
      <c r="M14" s="9">
        <v>55</v>
      </c>
      <c r="N14" s="9">
        <f>SUM(P14:AA14)</f>
        <v>51</v>
      </c>
      <c r="O14" s="9">
        <f>+Z14</f>
        <v>0</v>
      </c>
      <c r="P14" s="9">
        <f t="shared" si="1"/>
        <v>0</v>
      </c>
      <c r="Q14" s="9">
        <f t="shared" si="1"/>
        <v>0</v>
      </c>
      <c r="R14" s="9">
        <f t="shared" si="1"/>
        <v>1</v>
      </c>
      <c r="S14" s="9">
        <f t="shared" si="1"/>
        <v>2</v>
      </c>
      <c r="T14" s="9">
        <f t="shared" si="1"/>
        <v>15</v>
      </c>
      <c r="U14" s="9">
        <f t="shared" si="1"/>
        <v>0</v>
      </c>
      <c r="V14" s="9">
        <f t="shared" si="1"/>
        <v>0</v>
      </c>
      <c r="W14" s="9">
        <f t="shared" si="1"/>
        <v>3</v>
      </c>
      <c r="X14" s="9">
        <v>30</v>
      </c>
      <c r="Y14" s="9">
        <v>0</v>
      </c>
      <c r="Z14" s="9">
        <f t="shared" si="1"/>
        <v>0</v>
      </c>
      <c r="AA14" s="9">
        <f t="shared" si="1"/>
        <v>0</v>
      </c>
      <c r="AB14" s="9"/>
      <c r="AC14" s="9"/>
      <c r="AD14" s="9"/>
      <c r="AE14" s="9"/>
      <c r="AF14" s="236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275"/>
      <c r="AR14" s="164"/>
      <c r="AS14" s="10"/>
      <c r="AT14" s="127"/>
      <c r="AU14" s="11"/>
      <c r="AV14" s="130"/>
      <c r="AW14" s="11"/>
      <c r="AX14" s="130"/>
      <c r="AY14" s="11"/>
      <c r="AZ14" s="130"/>
      <c r="BA14" s="11"/>
      <c r="BB14" s="131"/>
    </row>
    <row r="15" spans="1:54" ht="27" x14ac:dyDescent="0.25">
      <c r="A15" s="4"/>
      <c r="B15" s="5"/>
      <c r="C15" s="5"/>
      <c r="D15" s="5"/>
      <c r="E15" s="6"/>
      <c r="F15" s="6"/>
      <c r="G15" s="6">
        <v>2</v>
      </c>
      <c r="H15" s="114" t="s">
        <v>167</v>
      </c>
      <c r="I15" s="211" t="s">
        <v>64</v>
      </c>
      <c r="J15" s="11">
        <v>15</v>
      </c>
      <c r="K15" s="11">
        <v>15</v>
      </c>
      <c r="L15" s="11">
        <v>15</v>
      </c>
      <c r="M15" s="11">
        <v>47</v>
      </c>
      <c r="N15" s="11">
        <f>+SUM(P15:AA15)</f>
        <v>45</v>
      </c>
      <c r="O15" s="9">
        <f>+Z15</f>
        <v>0</v>
      </c>
      <c r="P15" s="11">
        <v>0</v>
      </c>
      <c r="Q15" s="11">
        <v>0</v>
      </c>
      <c r="R15" s="11">
        <v>1</v>
      </c>
      <c r="S15" s="11">
        <v>2</v>
      </c>
      <c r="T15" s="11">
        <v>12</v>
      </c>
      <c r="U15" s="11">
        <v>0</v>
      </c>
      <c r="V15" s="11">
        <v>0</v>
      </c>
      <c r="W15" s="11">
        <v>0</v>
      </c>
      <c r="X15" s="11">
        <v>30</v>
      </c>
      <c r="Y15" s="11">
        <v>0</v>
      </c>
      <c r="Z15" s="11">
        <v>0</v>
      </c>
      <c r="AA15" s="11">
        <v>0</v>
      </c>
      <c r="AB15" s="9"/>
      <c r="AC15" s="9"/>
      <c r="AD15" s="9"/>
      <c r="AE15" s="9"/>
      <c r="AF15" s="236"/>
      <c r="AG15" s="9"/>
      <c r="AH15" s="9"/>
      <c r="AI15" s="9"/>
      <c r="AJ15" s="9"/>
      <c r="AK15" s="9"/>
      <c r="AL15" s="11"/>
      <c r="AM15" s="11"/>
      <c r="AN15" s="11"/>
      <c r="AO15" s="11"/>
      <c r="AP15" s="11"/>
      <c r="AQ15" s="276"/>
      <c r="AR15" s="200"/>
      <c r="AS15" s="16"/>
      <c r="AT15" s="127"/>
      <c r="AU15" s="11"/>
      <c r="AV15" s="130"/>
      <c r="AW15" s="11"/>
      <c r="AX15" s="130"/>
      <c r="AY15" s="11"/>
      <c r="AZ15" s="130"/>
      <c r="BA15" s="11"/>
      <c r="BB15" s="131"/>
    </row>
    <row r="16" spans="1:54" x14ac:dyDescent="0.25">
      <c r="A16" s="4"/>
      <c r="B16" s="5"/>
      <c r="C16" s="5"/>
      <c r="D16" s="5"/>
      <c r="E16" s="6"/>
      <c r="F16" s="6"/>
      <c r="G16" s="6">
        <v>3</v>
      </c>
      <c r="H16" s="114" t="s">
        <v>168</v>
      </c>
      <c r="I16" s="211" t="s">
        <v>64</v>
      </c>
      <c r="J16" s="11">
        <v>4</v>
      </c>
      <c r="K16" s="11">
        <v>4</v>
      </c>
      <c r="L16" s="11">
        <v>4</v>
      </c>
      <c r="M16" s="11">
        <v>4</v>
      </c>
      <c r="N16" s="11">
        <f>+SUM(P16:AA16)</f>
        <v>4</v>
      </c>
      <c r="O16" s="9">
        <f>+Z16</f>
        <v>0</v>
      </c>
      <c r="P16" s="11">
        <v>0</v>
      </c>
      <c r="Q16" s="11">
        <v>0</v>
      </c>
      <c r="R16" s="11">
        <v>0</v>
      </c>
      <c r="S16" s="11">
        <v>0</v>
      </c>
      <c r="T16" s="11">
        <v>3</v>
      </c>
      <c r="U16" s="11">
        <v>0</v>
      </c>
      <c r="V16" s="11">
        <v>0</v>
      </c>
      <c r="W16" s="11">
        <v>1</v>
      </c>
      <c r="X16" s="11">
        <v>0</v>
      </c>
      <c r="Y16" s="11">
        <v>0</v>
      </c>
      <c r="Z16" s="11">
        <v>0</v>
      </c>
      <c r="AA16" s="11">
        <v>0</v>
      </c>
      <c r="AB16" s="9"/>
      <c r="AC16" s="9"/>
      <c r="AD16" s="9"/>
      <c r="AE16" s="9"/>
      <c r="AF16" s="236"/>
      <c r="AG16" s="9"/>
      <c r="AH16" s="9"/>
      <c r="AI16" s="9"/>
      <c r="AJ16" s="9"/>
      <c r="AK16" s="9"/>
      <c r="AL16" s="11"/>
      <c r="AM16" s="11"/>
      <c r="AN16" s="11"/>
      <c r="AO16" s="11"/>
      <c r="AP16" s="11"/>
      <c r="AQ16" s="276"/>
      <c r="AR16" s="200"/>
      <c r="AS16" s="16"/>
      <c r="AT16" s="127"/>
      <c r="AU16" s="11"/>
      <c r="AV16" s="130"/>
      <c r="AW16" s="11"/>
      <c r="AX16" s="130"/>
      <c r="AY16" s="11"/>
      <c r="AZ16" s="130"/>
      <c r="BA16" s="11"/>
      <c r="BB16" s="131"/>
    </row>
    <row r="17" spans="1:54" x14ac:dyDescent="0.25">
      <c r="A17" s="4"/>
      <c r="B17" s="5"/>
      <c r="C17" s="5"/>
      <c r="D17" s="5"/>
      <c r="E17" s="6"/>
      <c r="F17" s="6"/>
      <c r="G17" s="6">
        <v>4</v>
      </c>
      <c r="H17" s="114" t="s">
        <v>169</v>
      </c>
      <c r="I17" s="211" t="s">
        <v>64</v>
      </c>
      <c r="J17" s="11">
        <v>4</v>
      </c>
      <c r="K17" s="11">
        <v>4</v>
      </c>
      <c r="L17" s="11">
        <v>4</v>
      </c>
      <c r="M17" s="11">
        <v>4</v>
      </c>
      <c r="N17" s="11">
        <f>+SUM(P17:AA17)</f>
        <v>2</v>
      </c>
      <c r="O17" s="9">
        <f>+Z17</f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2</v>
      </c>
      <c r="X17" s="11">
        <v>0</v>
      </c>
      <c r="Y17" s="11">
        <v>0</v>
      </c>
      <c r="Z17" s="11">
        <v>0</v>
      </c>
      <c r="AA17" s="11">
        <v>0</v>
      </c>
      <c r="AB17" s="9"/>
      <c r="AC17" s="9"/>
      <c r="AD17" s="9"/>
      <c r="AE17" s="9"/>
      <c r="AF17" s="236"/>
      <c r="AG17" s="9"/>
      <c r="AH17" s="9"/>
      <c r="AI17" s="9"/>
      <c r="AJ17" s="9"/>
      <c r="AK17" s="9"/>
      <c r="AL17" s="11"/>
      <c r="AM17" s="11"/>
      <c r="AN17" s="11"/>
      <c r="AO17" s="11"/>
      <c r="AP17" s="11"/>
      <c r="AQ17" s="276"/>
      <c r="AR17" s="200"/>
      <c r="AS17" s="16"/>
      <c r="AT17" s="127"/>
      <c r="AU17" s="11"/>
      <c r="AV17" s="130"/>
      <c r="AW17" s="11"/>
      <c r="AX17" s="130"/>
      <c r="AY17" s="11"/>
      <c r="AZ17" s="130"/>
      <c r="BA17" s="11"/>
      <c r="BB17" s="131"/>
    </row>
    <row r="18" spans="1:54" x14ac:dyDescent="0.25">
      <c r="A18" s="4"/>
      <c r="B18" s="5"/>
      <c r="C18" s="5"/>
      <c r="D18" s="5"/>
      <c r="E18" s="6"/>
      <c r="F18" s="6"/>
      <c r="G18" s="6">
        <v>5</v>
      </c>
      <c r="H18" s="114" t="s">
        <v>170</v>
      </c>
      <c r="I18" s="211" t="s">
        <v>34</v>
      </c>
      <c r="J18" s="11">
        <v>175</v>
      </c>
      <c r="K18" s="11">
        <v>175</v>
      </c>
      <c r="L18" s="11">
        <v>175</v>
      </c>
      <c r="M18" s="11">
        <v>175</v>
      </c>
      <c r="N18" s="11">
        <f>+SUM(P18:AA18)</f>
        <v>111</v>
      </c>
      <c r="O18" s="9">
        <f>+Z18</f>
        <v>15</v>
      </c>
      <c r="P18" s="11">
        <v>0</v>
      </c>
      <c r="Q18" s="11">
        <v>10</v>
      </c>
      <c r="R18" s="11">
        <v>6</v>
      </c>
      <c r="S18" s="11">
        <v>15</v>
      </c>
      <c r="T18" s="11">
        <v>12</v>
      </c>
      <c r="U18" s="11">
        <v>16</v>
      </c>
      <c r="V18" s="11">
        <v>13</v>
      </c>
      <c r="W18" s="11">
        <v>4</v>
      </c>
      <c r="X18" s="11">
        <v>10</v>
      </c>
      <c r="Y18" s="11">
        <v>10</v>
      </c>
      <c r="Z18" s="11">
        <v>15</v>
      </c>
      <c r="AA18" s="11">
        <v>0</v>
      </c>
      <c r="AB18" s="9"/>
      <c r="AC18" s="9"/>
      <c r="AD18" s="9"/>
      <c r="AE18" s="9"/>
      <c r="AF18" s="236"/>
      <c r="AG18" s="9"/>
      <c r="AH18" s="9"/>
      <c r="AI18" s="9"/>
      <c r="AJ18" s="9"/>
      <c r="AK18" s="9"/>
      <c r="AL18" s="11"/>
      <c r="AM18" s="11"/>
      <c r="AN18" s="11"/>
      <c r="AO18" s="11"/>
      <c r="AP18" s="11"/>
      <c r="AQ18" s="276"/>
      <c r="AR18" s="200"/>
      <c r="AS18" s="16"/>
      <c r="AT18" s="127"/>
      <c r="AU18" s="11"/>
      <c r="AV18" s="130"/>
      <c r="AW18" s="11"/>
      <c r="AX18" s="130"/>
      <c r="AY18" s="11"/>
      <c r="AZ18" s="130"/>
      <c r="BA18" s="11"/>
      <c r="BB18" s="131"/>
    </row>
    <row r="19" spans="1:54" x14ac:dyDescent="0.25">
      <c r="A19" s="4"/>
      <c r="B19" s="6"/>
      <c r="C19" s="6"/>
      <c r="D19" s="6"/>
      <c r="E19" s="5">
        <v>3</v>
      </c>
      <c r="F19" s="5">
        <v>0</v>
      </c>
      <c r="G19" s="5"/>
      <c r="H19" s="54" t="s">
        <v>171</v>
      </c>
      <c r="I19" s="211"/>
      <c r="J19" s="11"/>
      <c r="K19" s="11"/>
      <c r="L19" s="11"/>
      <c r="M19" s="11"/>
      <c r="N19" s="11"/>
      <c r="O19" s="9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9">
        <v>2174426.16</v>
      </c>
      <c r="AC19" s="9">
        <v>1928564</v>
      </c>
      <c r="AD19" s="9">
        <v>1928564</v>
      </c>
      <c r="AE19" s="9">
        <v>1928564</v>
      </c>
      <c r="AF19" s="236">
        <f>1568582.61+AG19</f>
        <v>1712684.4100000001</v>
      </c>
      <c r="AG19" s="9">
        <f>+AR19</f>
        <v>144101.79999999999</v>
      </c>
      <c r="AH19" s="11">
        <v>182459.16</v>
      </c>
      <c r="AI19" s="11">
        <v>143101.79999999999</v>
      </c>
      <c r="AJ19" s="11">
        <v>143748.25</v>
      </c>
      <c r="AK19" s="11">
        <v>144101.79999999999</v>
      </c>
      <c r="AL19" s="11">
        <v>145095.79999999999</v>
      </c>
      <c r="AM19" s="11">
        <v>0</v>
      </c>
      <c r="AN19" s="11">
        <v>1640.45</v>
      </c>
      <c r="AO19" s="11">
        <v>3430</v>
      </c>
      <c r="AP19" s="11">
        <v>0</v>
      </c>
      <c r="AQ19" s="276">
        <v>144336.79999999999</v>
      </c>
      <c r="AR19" s="200">
        <v>144101.79999999999</v>
      </c>
      <c r="AS19" s="16">
        <v>0</v>
      </c>
      <c r="AT19" s="127"/>
      <c r="AU19" s="9">
        <v>5359</v>
      </c>
      <c r="AV19" s="128">
        <v>1154441.52</v>
      </c>
      <c r="AW19" s="9">
        <v>5361</v>
      </c>
      <c r="AX19" s="128">
        <v>1178242.08</v>
      </c>
      <c r="AY19" s="9">
        <v>5362</v>
      </c>
      <c r="AZ19" s="128">
        <v>1283333.76</v>
      </c>
      <c r="BA19" s="9">
        <v>5363</v>
      </c>
      <c r="BB19" s="129">
        <v>1356837.23</v>
      </c>
    </row>
    <row r="20" spans="1:54" x14ac:dyDescent="0.25">
      <c r="A20" s="4">
        <v>4</v>
      </c>
      <c r="B20" s="6"/>
      <c r="C20" s="6"/>
      <c r="D20" s="6"/>
      <c r="E20" s="6"/>
      <c r="F20" s="6"/>
      <c r="G20" s="5">
        <v>1</v>
      </c>
      <c r="H20" s="54" t="s">
        <v>172</v>
      </c>
      <c r="I20" s="254" t="s">
        <v>64</v>
      </c>
      <c r="J20" s="9">
        <f t="shared" ref="J20:AA20" si="2">+J22+J23+J24</f>
        <v>5231</v>
      </c>
      <c r="K20" s="9">
        <f t="shared" si="2"/>
        <v>5231</v>
      </c>
      <c r="L20" s="9">
        <f t="shared" si="2"/>
        <v>5231</v>
      </c>
      <c r="M20" s="9">
        <f>+M22+M23+M24</f>
        <v>5231</v>
      </c>
      <c r="N20" s="9">
        <f>SUM(P20:AA20)</f>
        <v>5009</v>
      </c>
      <c r="O20" s="9">
        <f>+Z20</f>
        <v>380</v>
      </c>
      <c r="P20" s="9">
        <f t="shared" si="2"/>
        <v>0</v>
      </c>
      <c r="Q20" s="9">
        <f t="shared" si="2"/>
        <v>894</v>
      </c>
      <c r="R20" s="9">
        <f t="shared" si="2"/>
        <v>364</v>
      </c>
      <c r="S20" s="9">
        <f t="shared" si="2"/>
        <v>419</v>
      </c>
      <c r="T20" s="9">
        <f t="shared" si="2"/>
        <v>644</v>
      </c>
      <c r="U20" s="9">
        <v>431</v>
      </c>
      <c r="V20" s="9">
        <v>501</v>
      </c>
      <c r="W20" s="9">
        <f t="shared" si="2"/>
        <v>381</v>
      </c>
      <c r="X20" s="9">
        <v>420</v>
      </c>
      <c r="Y20" s="9">
        <v>575</v>
      </c>
      <c r="Z20" s="9">
        <v>380</v>
      </c>
      <c r="AA20" s="9">
        <f t="shared" si="2"/>
        <v>0</v>
      </c>
      <c r="AB20" s="9"/>
      <c r="AC20" s="9"/>
      <c r="AD20" s="9"/>
      <c r="AE20" s="9"/>
      <c r="AF20" s="236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275"/>
      <c r="AR20" s="164"/>
      <c r="AS20" s="10"/>
      <c r="AT20" s="127"/>
      <c r="AU20" s="11"/>
      <c r="AV20" s="130"/>
      <c r="AW20" s="11"/>
      <c r="AX20" s="130"/>
      <c r="AY20" s="11"/>
      <c r="AZ20" s="130"/>
      <c r="BA20" s="11"/>
      <c r="BB20" s="131"/>
    </row>
    <row r="21" spans="1:54" x14ac:dyDescent="0.25">
      <c r="A21" s="4"/>
      <c r="B21" s="6"/>
      <c r="C21" s="6"/>
      <c r="D21" s="6"/>
      <c r="E21" s="6"/>
      <c r="F21" s="6"/>
      <c r="G21" s="6">
        <v>2</v>
      </c>
      <c r="H21" s="114" t="s">
        <v>173</v>
      </c>
      <c r="I21" s="211" t="s">
        <v>174</v>
      </c>
      <c r="J21" s="11">
        <v>196</v>
      </c>
      <c r="K21" s="11">
        <v>196</v>
      </c>
      <c r="L21" s="11">
        <v>196</v>
      </c>
      <c r="M21" s="11">
        <v>196</v>
      </c>
      <c r="N21" s="11">
        <f>SUM(P21:AA21)</f>
        <v>185</v>
      </c>
      <c r="O21" s="9">
        <f>+Z21</f>
        <v>3</v>
      </c>
      <c r="P21" s="11">
        <v>0</v>
      </c>
      <c r="Q21" s="11">
        <v>29</v>
      </c>
      <c r="R21" s="11">
        <v>14</v>
      </c>
      <c r="S21" s="11">
        <v>21</v>
      </c>
      <c r="T21" s="11">
        <v>82</v>
      </c>
      <c r="U21" s="11">
        <v>5</v>
      </c>
      <c r="V21" s="11">
        <v>3</v>
      </c>
      <c r="W21" s="11">
        <v>8</v>
      </c>
      <c r="X21" s="11">
        <v>17</v>
      </c>
      <c r="Y21" s="11">
        <v>3</v>
      </c>
      <c r="Z21" s="11">
        <v>3</v>
      </c>
      <c r="AA21" s="11">
        <v>0</v>
      </c>
      <c r="AB21" s="9"/>
      <c r="AC21" s="9"/>
      <c r="AD21" s="9"/>
      <c r="AE21" s="9"/>
      <c r="AF21" s="236"/>
      <c r="AG21" s="9"/>
      <c r="AH21" s="9"/>
      <c r="AI21" s="11"/>
      <c r="AJ21" s="9"/>
      <c r="AK21" s="11"/>
      <c r="AL21" s="11"/>
      <c r="AM21" s="11"/>
      <c r="AN21" s="11"/>
      <c r="AO21" s="11"/>
      <c r="AP21" s="11"/>
      <c r="AQ21" s="276"/>
      <c r="AR21" s="200"/>
      <c r="AS21" s="16"/>
      <c r="AT21" s="127"/>
      <c r="AU21" s="11"/>
      <c r="AV21" s="130"/>
      <c r="AW21" s="11"/>
      <c r="AX21" s="130"/>
      <c r="AY21" s="11"/>
      <c r="AZ21" s="130"/>
      <c r="BA21" s="11"/>
      <c r="BB21" s="131"/>
    </row>
    <row r="22" spans="1:54" ht="27" x14ac:dyDescent="0.25">
      <c r="A22" s="4"/>
      <c r="B22" s="6"/>
      <c r="C22" s="6"/>
      <c r="D22" s="6"/>
      <c r="E22" s="6"/>
      <c r="F22" s="6"/>
      <c r="G22" s="6">
        <v>3</v>
      </c>
      <c r="H22" s="114" t="s">
        <v>175</v>
      </c>
      <c r="I22" s="211" t="s">
        <v>64</v>
      </c>
      <c r="J22" s="11">
        <v>94</v>
      </c>
      <c r="K22" s="11">
        <v>94</v>
      </c>
      <c r="L22" s="11">
        <v>94</v>
      </c>
      <c r="M22" s="11">
        <v>94</v>
      </c>
      <c r="N22" s="11">
        <f>SUM(P22:AA22)</f>
        <v>92</v>
      </c>
      <c r="O22" s="9">
        <f>+Z22</f>
        <v>0</v>
      </c>
      <c r="P22" s="11">
        <v>0</v>
      </c>
      <c r="Q22" s="11">
        <v>9</v>
      </c>
      <c r="R22" s="11">
        <v>4</v>
      </c>
      <c r="S22" s="11">
        <v>8</v>
      </c>
      <c r="T22" s="11">
        <v>44</v>
      </c>
      <c r="U22" s="11">
        <v>11</v>
      </c>
      <c r="V22" s="11">
        <v>11</v>
      </c>
      <c r="W22" s="11">
        <v>5</v>
      </c>
      <c r="X22" s="11">
        <v>0</v>
      </c>
      <c r="Y22" s="11">
        <v>0</v>
      </c>
      <c r="Z22" s="11">
        <v>0</v>
      </c>
      <c r="AA22" s="11">
        <v>0</v>
      </c>
      <c r="AB22" s="11"/>
      <c r="AC22" s="11"/>
      <c r="AD22" s="11"/>
      <c r="AE22" s="11"/>
      <c r="AF22" s="235"/>
      <c r="AG22" s="9"/>
      <c r="AH22" s="11"/>
      <c r="AI22" s="11"/>
      <c r="AJ22" s="11"/>
      <c r="AK22" s="11"/>
      <c r="AL22" s="11"/>
      <c r="AM22" s="11"/>
      <c r="AN22" s="11"/>
      <c r="AO22" s="11"/>
      <c r="AP22" s="11"/>
      <c r="AQ22" s="276"/>
      <c r="AR22" s="200"/>
      <c r="AS22" s="16"/>
      <c r="AT22" s="127"/>
      <c r="AU22" s="11"/>
      <c r="AV22" s="130"/>
      <c r="AW22" s="11"/>
      <c r="AX22" s="130"/>
      <c r="AY22" s="11"/>
      <c r="AZ22" s="130"/>
      <c r="BA22" s="11"/>
      <c r="BB22" s="131"/>
    </row>
    <row r="23" spans="1:54" ht="27" x14ac:dyDescent="0.25">
      <c r="A23" s="4"/>
      <c r="B23" s="6"/>
      <c r="C23" s="6"/>
      <c r="D23" s="6"/>
      <c r="E23" s="6"/>
      <c r="F23" s="6"/>
      <c r="G23" s="6">
        <v>4</v>
      </c>
      <c r="H23" s="114" t="s">
        <v>176</v>
      </c>
      <c r="I23" s="211" t="s">
        <v>64</v>
      </c>
      <c r="J23" s="11">
        <v>32</v>
      </c>
      <c r="K23" s="11">
        <v>32</v>
      </c>
      <c r="L23" s="11">
        <v>32</v>
      </c>
      <c r="M23" s="11">
        <v>32</v>
      </c>
      <c r="N23" s="11">
        <f>SUM(P23:AA23)</f>
        <v>12</v>
      </c>
      <c r="O23" s="9">
        <f>+Z23</f>
        <v>0</v>
      </c>
      <c r="P23" s="11">
        <v>0</v>
      </c>
      <c r="Q23" s="11">
        <v>0</v>
      </c>
      <c r="R23" s="11">
        <v>0</v>
      </c>
      <c r="S23" s="11">
        <v>1</v>
      </c>
      <c r="T23" s="11">
        <v>10</v>
      </c>
      <c r="U23" s="11">
        <v>0</v>
      </c>
      <c r="V23" s="11">
        <v>0</v>
      </c>
      <c r="W23" s="11">
        <v>1</v>
      </c>
      <c r="X23" s="11">
        <v>0</v>
      </c>
      <c r="Y23" s="11">
        <v>0</v>
      </c>
      <c r="Z23" s="11">
        <v>0</v>
      </c>
      <c r="AA23" s="11">
        <v>0</v>
      </c>
      <c r="AB23" s="11"/>
      <c r="AC23" s="11"/>
      <c r="AD23" s="11"/>
      <c r="AE23" s="11"/>
      <c r="AF23" s="235"/>
      <c r="AG23" s="9"/>
      <c r="AH23" s="11"/>
      <c r="AI23" s="11"/>
      <c r="AJ23" s="11"/>
      <c r="AK23" s="11"/>
      <c r="AL23" s="11"/>
      <c r="AM23" s="11"/>
      <c r="AN23" s="11"/>
      <c r="AO23" s="11"/>
      <c r="AP23" s="11"/>
      <c r="AQ23" s="276"/>
      <c r="AR23" s="200"/>
      <c r="AS23" s="16"/>
      <c r="AT23" s="127"/>
      <c r="AU23" s="11"/>
      <c r="AV23" s="130"/>
      <c r="AW23" s="11"/>
      <c r="AX23" s="130"/>
      <c r="AY23" s="11"/>
      <c r="AZ23" s="130"/>
      <c r="BA23" s="11"/>
      <c r="BB23" s="131"/>
    </row>
    <row r="24" spans="1:54" ht="27" x14ac:dyDescent="0.25">
      <c r="A24" s="4"/>
      <c r="B24" s="6"/>
      <c r="C24" s="6"/>
      <c r="D24" s="6"/>
      <c r="E24" s="6"/>
      <c r="F24" s="6"/>
      <c r="G24" s="6">
        <v>5</v>
      </c>
      <c r="H24" s="114" t="s">
        <v>177</v>
      </c>
      <c r="I24" s="211" t="s">
        <v>64</v>
      </c>
      <c r="J24" s="11">
        <v>5105</v>
      </c>
      <c r="K24" s="11">
        <v>5105</v>
      </c>
      <c r="L24" s="11">
        <v>5105</v>
      </c>
      <c r="M24" s="11">
        <v>5105</v>
      </c>
      <c r="N24" s="11">
        <f>SUM(P24:AA24)</f>
        <v>4905</v>
      </c>
      <c r="O24" s="9">
        <f>+Z24</f>
        <v>380</v>
      </c>
      <c r="P24" s="11">
        <v>0</v>
      </c>
      <c r="Q24" s="11">
        <v>885</v>
      </c>
      <c r="R24" s="11">
        <v>360</v>
      </c>
      <c r="S24" s="11">
        <v>410</v>
      </c>
      <c r="T24" s="11">
        <v>590</v>
      </c>
      <c r="U24" s="11">
        <v>420</v>
      </c>
      <c r="V24" s="11">
        <v>490</v>
      </c>
      <c r="W24" s="11">
        <v>375</v>
      </c>
      <c r="X24" s="11">
        <v>420</v>
      </c>
      <c r="Y24" s="11">
        <v>575</v>
      </c>
      <c r="Z24" s="11">
        <v>380</v>
      </c>
      <c r="AA24" s="11">
        <v>0</v>
      </c>
      <c r="AB24" s="11"/>
      <c r="AC24" s="11"/>
      <c r="AD24" s="11"/>
      <c r="AE24" s="11"/>
      <c r="AF24" s="235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276"/>
      <c r="AR24" s="200"/>
      <c r="AS24" s="16"/>
      <c r="AT24" s="127"/>
      <c r="AU24" s="11"/>
      <c r="AV24" s="130"/>
      <c r="AW24" s="11"/>
      <c r="AX24" s="130"/>
      <c r="AY24" s="11"/>
      <c r="AZ24" s="130"/>
      <c r="BA24" s="11"/>
      <c r="BB24" s="131"/>
    </row>
    <row r="25" spans="1:54" ht="30" x14ac:dyDescent="0.25">
      <c r="A25" s="61"/>
      <c r="B25" s="5">
        <v>99</v>
      </c>
      <c r="C25" s="5"/>
      <c r="D25" s="5"/>
      <c r="E25" s="5"/>
      <c r="F25" s="5"/>
      <c r="G25" s="6"/>
      <c r="H25" s="54" t="s">
        <v>112</v>
      </c>
      <c r="I25" s="6"/>
      <c r="J25" s="11"/>
      <c r="K25" s="11"/>
      <c r="L25" s="11"/>
      <c r="M25" s="11"/>
      <c r="N25" s="11"/>
      <c r="O25" s="9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235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276"/>
      <c r="AR25" s="200"/>
      <c r="AS25" s="16"/>
      <c r="AT25" s="127"/>
      <c r="AU25" s="11"/>
      <c r="AV25" s="130"/>
      <c r="AW25" s="11"/>
      <c r="AX25" s="130"/>
      <c r="AY25" s="11"/>
      <c r="AZ25" s="130"/>
      <c r="BA25" s="11"/>
      <c r="BB25" s="131"/>
    </row>
    <row r="26" spans="1:54" x14ac:dyDescent="0.25">
      <c r="A26" s="61"/>
      <c r="B26" s="5"/>
      <c r="C26" s="5">
        <v>0</v>
      </c>
      <c r="D26" s="5"/>
      <c r="E26" s="5"/>
      <c r="F26" s="5"/>
      <c r="G26" s="6"/>
      <c r="H26" s="54" t="s">
        <v>30</v>
      </c>
      <c r="I26" s="6"/>
      <c r="J26" s="11"/>
      <c r="K26" s="11"/>
      <c r="L26" s="11"/>
      <c r="M26" s="11"/>
      <c r="N26" s="11"/>
      <c r="O26" s="9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235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276"/>
      <c r="AR26" s="200"/>
      <c r="AS26" s="16"/>
      <c r="AT26" s="127"/>
      <c r="AU26" s="11"/>
      <c r="AV26" s="130"/>
      <c r="AW26" s="11"/>
      <c r="AX26" s="130"/>
      <c r="AY26" s="11"/>
      <c r="AZ26" s="130"/>
      <c r="BA26" s="11"/>
      <c r="BB26" s="131"/>
    </row>
    <row r="27" spans="1:54" x14ac:dyDescent="0.25">
      <c r="A27" s="61"/>
      <c r="B27" s="5"/>
      <c r="C27" s="5"/>
      <c r="D27" s="5">
        <v>0</v>
      </c>
      <c r="E27" s="5"/>
      <c r="F27" s="5"/>
      <c r="G27" s="6"/>
      <c r="H27" s="54" t="s">
        <v>31</v>
      </c>
      <c r="I27" s="6"/>
      <c r="J27" s="11"/>
      <c r="K27" s="11"/>
      <c r="L27" s="11"/>
      <c r="M27" s="11"/>
      <c r="N27" s="11"/>
      <c r="O27" s="9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235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276"/>
      <c r="AR27" s="200"/>
      <c r="AS27" s="16"/>
      <c r="AT27" s="127"/>
      <c r="AU27" s="11"/>
      <c r="AV27" s="130"/>
      <c r="AW27" s="11"/>
      <c r="AX27" s="130"/>
      <c r="AY27" s="11"/>
      <c r="AZ27" s="130"/>
      <c r="BA27" s="11"/>
      <c r="BB27" s="131"/>
    </row>
    <row r="28" spans="1:54" ht="30" x14ac:dyDescent="0.25">
      <c r="A28" s="61"/>
      <c r="B28" s="5"/>
      <c r="C28" s="5"/>
      <c r="D28" s="5"/>
      <c r="E28" s="5">
        <v>2</v>
      </c>
      <c r="F28" s="5">
        <v>0</v>
      </c>
      <c r="G28" s="6"/>
      <c r="H28" s="54" t="s">
        <v>44</v>
      </c>
      <c r="I28" s="6"/>
      <c r="J28" s="11"/>
      <c r="K28" s="11"/>
      <c r="L28" s="11"/>
      <c r="M28" s="11"/>
      <c r="N28" s="11"/>
      <c r="O28" s="9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9">
        <v>975000</v>
      </c>
      <c r="AC28" s="9">
        <v>900000</v>
      </c>
      <c r="AD28" s="9">
        <v>900000</v>
      </c>
      <c r="AE28" s="9">
        <v>900000</v>
      </c>
      <c r="AF28" s="236">
        <f>+SUM(AH28:AS28)</f>
        <v>899210.62</v>
      </c>
      <c r="AG28" s="9">
        <f>+AR28</f>
        <v>0</v>
      </c>
      <c r="AH28" s="11">
        <v>0</v>
      </c>
      <c r="AI28" s="11">
        <v>0</v>
      </c>
      <c r="AJ28" s="11">
        <v>899210.62</v>
      </c>
      <c r="AK28" s="11">
        <v>0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276">
        <v>0</v>
      </c>
      <c r="AR28" s="200">
        <v>0</v>
      </c>
      <c r="AS28" s="16">
        <v>0</v>
      </c>
      <c r="AT28" s="127"/>
      <c r="AU28" s="9">
        <v>2</v>
      </c>
      <c r="AV28" s="128">
        <v>1300000</v>
      </c>
      <c r="AW28" s="9">
        <v>2</v>
      </c>
      <c r="AX28" s="128">
        <v>1300000</v>
      </c>
      <c r="AY28" s="9">
        <v>2</v>
      </c>
      <c r="AZ28" s="128">
        <v>1300000</v>
      </c>
      <c r="BA28" s="9">
        <v>2</v>
      </c>
      <c r="BB28" s="129">
        <v>1300000</v>
      </c>
    </row>
    <row r="29" spans="1:54" ht="30" x14ac:dyDescent="0.25">
      <c r="A29" s="61"/>
      <c r="B29" s="5"/>
      <c r="C29" s="5"/>
      <c r="D29" s="5"/>
      <c r="E29" s="5"/>
      <c r="F29" s="5"/>
      <c r="G29" s="6"/>
      <c r="H29" s="54" t="s">
        <v>45</v>
      </c>
      <c r="I29" s="5" t="s">
        <v>43</v>
      </c>
      <c r="J29" s="9">
        <f>J30</f>
        <v>2</v>
      </c>
      <c r="K29" s="9">
        <f>K30</f>
        <v>2</v>
      </c>
      <c r="L29" s="9">
        <f>L30</f>
        <v>2</v>
      </c>
      <c r="M29" s="9">
        <f>M30</f>
        <v>2</v>
      </c>
      <c r="N29" s="9">
        <f>SUM(P29:AA29)</f>
        <v>2</v>
      </c>
      <c r="O29" s="9">
        <f>+X29</f>
        <v>0</v>
      </c>
      <c r="P29" s="9">
        <f>P30</f>
        <v>0</v>
      </c>
      <c r="Q29" s="9">
        <f t="shared" ref="Q29:AA29" si="3">Q30</f>
        <v>0</v>
      </c>
      <c r="R29" s="9">
        <f t="shared" si="3"/>
        <v>0</v>
      </c>
      <c r="S29" s="9">
        <f t="shared" si="3"/>
        <v>2</v>
      </c>
      <c r="T29" s="9">
        <f t="shared" si="3"/>
        <v>0</v>
      </c>
      <c r="U29" s="9">
        <f t="shared" si="3"/>
        <v>0</v>
      </c>
      <c r="V29" s="9">
        <f t="shared" si="3"/>
        <v>0</v>
      </c>
      <c r="W29" s="9">
        <f t="shared" si="3"/>
        <v>0</v>
      </c>
      <c r="X29" s="9">
        <f t="shared" si="3"/>
        <v>0</v>
      </c>
      <c r="Y29" s="9">
        <f t="shared" si="3"/>
        <v>0</v>
      </c>
      <c r="Z29" s="9">
        <f t="shared" si="3"/>
        <v>0</v>
      </c>
      <c r="AA29" s="9">
        <f t="shared" si="3"/>
        <v>0</v>
      </c>
      <c r="AB29" s="11"/>
      <c r="AC29" s="11"/>
      <c r="AD29" s="11"/>
      <c r="AE29" s="11"/>
      <c r="AF29" s="235"/>
      <c r="AG29" s="11"/>
      <c r="AH29" s="11"/>
      <c r="AI29" s="9"/>
      <c r="AJ29" s="9"/>
      <c r="AK29" s="9"/>
      <c r="AL29" s="9"/>
      <c r="AM29" s="9"/>
      <c r="AN29" s="9"/>
      <c r="AO29" s="9"/>
      <c r="AP29" s="9"/>
      <c r="AQ29" s="275"/>
      <c r="AR29" s="164"/>
      <c r="AS29" s="10"/>
      <c r="AT29" s="127"/>
      <c r="AU29" s="9"/>
      <c r="AV29" s="128"/>
      <c r="AW29" s="9"/>
      <c r="AX29" s="128"/>
      <c r="AY29" s="9"/>
      <c r="AZ29" s="128"/>
      <c r="BA29" s="9"/>
      <c r="BB29" s="129"/>
    </row>
    <row r="30" spans="1:54" ht="27.75" thickBot="1" x14ac:dyDescent="0.3">
      <c r="A30" s="62"/>
      <c r="B30" s="63"/>
      <c r="C30" s="63"/>
      <c r="D30" s="63"/>
      <c r="E30" s="63"/>
      <c r="F30" s="63"/>
      <c r="G30" s="63"/>
      <c r="H30" s="64" t="s">
        <v>45</v>
      </c>
      <c r="I30" s="63" t="s">
        <v>43</v>
      </c>
      <c r="J30" s="15">
        <v>2</v>
      </c>
      <c r="K30" s="15">
        <v>2</v>
      </c>
      <c r="L30" s="15">
        <v>2</v>
      </c>
      <c r="M30" s="15">
        <v>2</v>
      </c>
      <c r="N30" s="13">
        <f>SUM(P30:AA30)</f>
        <v>2</v>
      </c>
      <c r="O30" s="15">
        <f>+Y30</f>
        <v>0</v>
      </c>
      <c r="P30" s="15">
        <v>0</v>
      </c>
      <c r="Q30" s="15">
        <v>0</v>
      </c>
      <c r="R30" s="15">
        <v>0</v>
      </c>
      <c r="S30" s="15">
        <v>2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/>
      <c r="AC30" s="15"/>
      <c r="AD30" s="15"/>
      <c r="AE30" s="15"/>
      <c r="AF30" s="237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277"/>
      <c r="AR30" s="201"/>
      <c r="AS30" s="17"/>
      <c r="AT30" s="127"/>
      <c r="AU30" s="15"/>
      <c r="AV30" s="132"/>
      <c r="AW30" s="15"/>
      <c r="AX30" s="132"/>
      <c r="AY30" s="15"/>
      <c r="AZ30" s="132"/>
      <c r="BA30" s="15"/>
      <c r="BB30" s="133"/>
    </row>
    <row r="31" spans="1:54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240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240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</row>
    <row r="32" spans="1:54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240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240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</row>
    <row r="33" spans="8:8" x14ac:dyDescent="0.25">
      <c r="H33" t="s">
        <v>227</v>
      </c>
    </row>
    <row r="34" spans="8:8" x14ac:dyDescent="0.25">
      <c r="H34" t="s">
        <v>225</v>
      </c>
    </row>
  </sheetData>
  <mergeCells count="7">
    <mergeCell ref="AW5:AX5"/>
    <mergeCell ref="AY5:AZ5"/>
    <mergeCell ref="BA5:BB5"/>
    <mergeCell ref="A5:I5"/>
    <mergeCell ref="J5:O5"/>
    <mergeCell ref="AB5:AG5"/>
    <mergeCell ref="AU5:AV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tabColor theme="9" tint="-0.249977111117893"/>
  </sheetPr>
  <dimension ref="A1:BB20"/>
  <sheetViews>
    <sheetView zoomScaleNormal="100" workbookViewId="0">
      <pane xSplit="8" ySplit="6" topLeftCell="L7" activePane="bottomRight" state="frozen"/>
      <selection activeCell="J1" sqref="J1:K1048576"/>
      <selection pane="topRight" activeCell="J1" sqref="J1:K1048576"/>
      <selection pane="bottomLeft" activeCell="J1" sqref="J1:K1048576"/>
      <selection pane="bottomRight" activeCell="N10" sqref="N10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hidden="1" customWidth="1"/>
    <col min="12" max="13" width="10.7109375" customWidth="1"/>
    <col min="14" max="15" width="13.7109375" customWidth="1"/>
    <col min="16" max="27" width="13.7109375" hidden="1" customWidth="1"/>
    <col min="28" max="33" width="13.7109375" customWidth="1"/>
    <col min="34" max="35" width="13.7109375" hidden="1" customWidth="1"/>
    <col min="36" max="45" width="15.28515625" hidden="1" customWidth="1"/>
    <col min="46" max="46" width="15.28515625" customWidth="1"/>
    <col min="47" max="47" width="10.7109375" customWidth="1"/>
    <col min="48" max="48" width="15.7109375" customWidth="1"/>
    <col min="49" max="49" width="10.7109375" customWidth="1"/>
    <col min="50" max="50" width="15.7109375" customWidth="1"/>
    <col min="51" max="51" width="10.7109375" customWidth="1"/>
    <col min="52" max="52" width="15.7109375" customWidth="1"/>
    <col min="53" max="53" width="10.7109375" customWidth="1"/>
    <col min="54" max="54" width="15.7109375" customWidth="1"/>
  </cols>
  <sheetData>
    <row r="1" spans="1:54" ht="15" customHeight="1" x14ac:dyDescent="0.25">
      <c r="A1" s="32" t="s">
        <v>49</v>
      </c>
    </row>
    <row r="2" spans="1:54" ht="15" customHeight="1" x14ac:dyDescent="0.25">
      <c r="A2" s="32" t="s">
        <v>50</v>
      </c>
    </row>
    <row r="3" spans="1:54" ht="15" customHeight="1" x14ac:dyDescent="0.25">
      <c r="A3" s="32" t="str">
        <f>+'201. DS'!A3</f>
        <v xml:space="preserve">EJERCICIO FISCAL 2022 - ACTUALIZADA NOVIEMBRE </v>
      </c>
    </row>
    <row r="4" spans="1:54" ht="15" customHeight="1" thickBot="1" x14ac:dyDescent="0.3"/>
    <row r="5" spans="1:54" s="94" customFormat="1" x14ac:dyDescent="0.25">
      <c r="A5" s="328" t="s">
        <v>178</v>
      </c>
      <c r="B5" s="329"/>
      <c r="C5" s="329"/>
      <c r="D5" s="329"/>
      <c r="E5" s="329"/>
      <c r="F5" s="329"/>
      <c r="G5" s="329"/>
      <c r="H5" s="329"/>
      <c r="I5" s="329"/>
      <c r="J5" s="330" t="s">
        <v>1</v>
      </c>
      <c r="K5" s="330"/>
      <c r="L5" s="330"/>
      <c r="M5" s="330"/>
      <c r="N5" s="330"/>
      <c r="O5" s="330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30" t="s">
        <v>2</v>
      </c>
      <c r="AC5" s="330"/>
      <c r="AD5" s="330"/>
      <c r="AE5" s="330"/>
      <c r="AF5" s="330"/>
      <c r="AG5" s="331"/>
      <c r="AH5" s="162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40"/>
      <c r="AT5" s="51"/>
      <c r="AU5" s="327" t="s">
        <v>51</v>
      </c>
      <c r="AV5" s="327"/>
      <c r="AW5" s="327" t="s">
        <v>52</v>
      </c>
      <c r="AX5" s="327"/>
      <c r="AY5" s="327" t="s">
        <v>53</v>
      </c>
      <c r="AZ5" s="327"/>
      <c r="BA5" s="327" t="s">
        <v>55</v>
      </c>
      <c r="BB5" s="327"/>
    </row>
    <row r="6" spans="1:54" s="111" customFormat="1" ht="36.75" thickBot="1" x14ac:dyDescent="0.3">
      <c r="A6" s="255" t="s">
        <v>3</v>
      </c>
      <c r="B6" s="246" t="s">
        <v>4</v>
      </c>
      <c r="C6" s="246" t="s">
        <v>5</v>
      </c>
      <c r="D6" s="246" t="s">
        <v>6</v>
      </c>
      <c r="E6" s="246" t="s">
        <v>7</v>
      </c>
      <c r="F6" s="246" t="s">
        <v>8</v>
      </c>
      <c r="G6" s="246" t="s">
        <v>9</v>
      </c>
      <c r="H6" s="247" t="s">
        <v>10</v>
      </c>
      <c r="I6" s="248" t="s">
        <v>11</v>
      </c>
      <c r="J6" s="249" t="s">
        <v>12</v>
      </c>
      <c r="K6" s="249" t="s">
        <v>65</v>
      </c>
      <c r="L6" s="249" t="s">
        <v>13</v>
      </c>
      <c r="M6" s="249" t="s">
        <v>14</v>
      </c>
      <c r="N6" s="250" t="s">
        <v>15</v>
      </c>
      <c r="O6" s="250" t="s">
        <v>16</v>
      </c>
      <c r="P6" s="250" t="s">
        <v>17</v>
      </c>
      <c r="Q6" s="250" t="s">
        <v>18</v>
      </c>
      <c r="R6" s="250" t="s">
        <v>19</v>
      </c>
      <c r="S6" s="250" t="s">
        <v>20</v>
      </c>
      <c r="T6" s="250" t="s">
        <v>21</v>
      </c>
      <c r="U6" s="250" t="s">
        <v>22</v>
      </c>
      <c r="V6" s="250" t="s">
        <v>23</v>
      </c>
      <c r="W6" s="250" t="s">
        <v>24</v>
      </c>
      <c r="X6" s="250" t="s">
        <v>25</v>
      </c>
      <c r="Y6" s="250" t="s">
        <v>26</v>
      </c>
      <c r="Z6" s="250" t="s">
        <v>27</v>
      </c>
      <c r="AA6" s="250" t="s">
        <v>28</v>
      </c>
      <c r="AB6" s="249" t="s">
        <v>12</v>
      </c>
      <c r="AC6" s="249" t="s">
        <v>65</v>
      </c>
      <c r="AD6" s="249" t="s">
        <v>13</v>
      </c>
      <c r="AE6" s="249" t="s">
        <v>14</v>
      </c>
      <c r="AF6" s="250" t="s">
        <v>15</v>
      </c>
      <c r="AG6" s="256" t="s">
        <v>16</v>
      </c>
      <c r="AH6" s="30" t="s">
        <v>17</v>
      </c>
      <c r="AI6" s="28" t="s">
        <v>18</v>
      </c>
      <c r="AJ6" s="28" t="s">
        <v>19</v>
      </c>
      <c r="AK6" s="28" t="s">
        <v>20</v>
      </c>
      <c r="AL6" s="28" t="s">
        <v>21</v>
      </c>
      <c r="AM6" s="28" t="s">
        <v>22</v>
      </c>
      <c r="AN6" s="28" t="s">
        <v>23</v>
      </c>
      <c r="AO6" s="28" t="s">
        <v>24</v>
      </c>
      <c r="AP6" s="28" t="s">
        <v>25</v>
      </c>
      <c r="AQ6" s="28" t="s">
        <v>26</v>
      </c>
      <c r="AR6" s="28" t="s">
        <v>27</v>
      </c>
      <c r="AS6" s="29" t="s">
        <v>28</v>
      </c>
      <c r="AT6" s="95"/>
      <c r="AU6" s="70" t="s">
        <v>54</v>
      </c>
      <c r="AV6" s="70" t="s">
        <v>2</v>
      </c>
      <c r="AW6" s="70" t="s">
        <v>54</v>
      </c>
      <c r="AX6" s="70" t="s">
        <v>2</v>
      </c>
      <c r="AY6" s="70" t="s">
        <v>54</v>
      </c>
      <c r="AZ6" s="70" t="s">
        <v>2</v>
      </c>
      <c r="BA6" s="70" t="s">
        <v>54</v>
      </c>
      <c r="BB6" s="70" t="s">
        <v>2</v>
      </c>
    </row>
    <row r="7" spans="1:54" s="94" customFormat="1" ht="27" x14ac:dyDescent="0.25">
      <c r="A7" s="4"/>
      <c r="B7" s="5">
        <v>23</v>
      </c>
      <c r="C7" s="5"/>
      <c r="D7" s="5"/>
      <c r="E7" s="6"/>
      <c r="F7" s="6"/>
      <c r="G7" s="6"/>
      <c r="H7" s="114" t="s">
        <v>179</v>
      </c>
      <c r="I7" s="211"/>
      <c r="J7" s="112"/>
      <c r="K7" s="112"/>
      <c r="L7" s="112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9"/>
      <c r="AC7" s="9"/>
      <c r="AD7" s="9"/>
      <c r="AE7" s="11"/>
      <c r="AF7" s="11"/>
      <c r="AG7" s="16"/>
      <c r="AH7" s="199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3"/>
      <c r="AT7" s="136"/>
      <c r="AU7" s="11"/>
      <c r="AV7" s="11"/>
      <c r="AW7" s="11"/>
      <c r="AX7" s="11"/>
      <c r="AY7" s="11"/>
      <c r="AZ7" s="11"/>
      <c r="BA7" s="11"/>
      <c r="BB7" s="11"/>
    </row>
    <row r="8" spans="1:54" s="94" customFormat="1" x14ac:dyDescent="0.25">
      <c r="A8" s="4"/>
      <c r="B8" s="5"/>
      <c r="C8" s="5">
        <v>0</v>
      </c>
      <c r="D8" s="5"/>
      <c r="E8" s="6"/>
      <c r="F8" s="6"/>
      <c r="G8" s="6"/>
      <c r="H8" s="114" t="s">
        <v>30</v>
      </c>
      <c r="I8" s="2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6"/>
      <c r="AH8" s="200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6"/>
      <c r="AT8" s="136"/>
      <c r="AU8" s="11"/>
      <c r="AV8" s="11"/>
      <c r="AW8" s="11"/>
      <c r="AX8" s="11"/>
      <c r="AY8" s="11"/>
      <c r="AZ8" s="11"/>
      <c r="BA8" s="11"/>
      <c r="BB8" s="11"/>
    </row>
    <row r="9" spans="1:54" s="94" customFormat="1" x14ac:dyDescent="0.25">
      <c r="A9" s="4"/>
      <c r="B9" s="5"/>
      <c r="C9" s="5"/>
      <c r="D9" s="5">
        <v>0</v>
      </c>
      <c r="E9" s="6"/>
      <c r="F9" s="6"/>
      <c r="G9" s="6"/>
      <c r="H9" s="114" t="s">
        <v>31</v>
      </c>
      <c r="I9" s="2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6"/>
      <c r="AH9" s="200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6"/>
      <c r="AT9" s="136"/>
      <c r="AU9" s="11"/>
      <c r="AV9" s="11"/>
      <c r="AW9" s="11"/>
      <c r="AX9" s="11"/>
      <c r="AY9" s="11"/>
      <c r="AZ9" s="11"/>
      <c r="BA9" s="11"/>
      <c r="BB9" s="11"/>
    </row>
    <row r="10" spans="1:54" s="94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4" t="s">
        <v>59</v>
      </c>
      <c r="I10" s="2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9"/>
      <c r="AG10" s="10"/>
      <c r="AH10" s="164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6"/>
      <c r="AT10" s="136"/>
      <c r="AU10" s="9">
        <v>35</v>
      </c>
      <c r="AV10" s="9">
        <v>3100000</v>
      </c>
      <c r="AW10" s="9">
        <v>35</v>
      </c>
      <c r="AX10" s="9">
        <v>3100000</v>
      </c>
      <c r="AY10" s="9">
        <v>35</v>
      </c>
      <c r="AZ10" s="9">
        <v>3100000</v>
      </c>
      <c r="BA10" s="9">
        <v>35</v>
      </c>
      <c r="BB10" s="9">
        <v>3100000</v>
      </c>
    </row>
    <row r="11" spans="1:54" s="94" customFormat="1" x14ac:dyDescent="0.25">
      <c r="A11" s="4">
        <v>4</v>
      </c>
      <c r="B11" s="5"/>
      <c r="C11" s="5"/>
      <c r="D11" s="5"/>
      <c r="E11" s="6"/>
      <c r="F11" s="6"/>
      <c r="G11" s="5">
        <v>1</v>
      </c>
      <c r="H11" s="54" t="s">
        <v>60</v>
      </c>
      <c r="I11" s="254" t="s">
        <v>34</v>
      </c>
      <c r="J11" s="9">
        <f>J12</f>
        <v>39</v>
      </c>
      <c r="K11" s="9">
        <f>K12</f>
        <v>27</v>
      </c>
      <c r="L11" s="9">
        <f>L12</f>
        <v>27</v>
      </c>
      <c r="M11" s="9">
        <f>M12</f>
        <v>25</v>
      </c>
      <c r="N11" s="9">
        <f>SUM(P11:AA11)</f>
        <v>23</v>
      </c>
      <c r="O11" s="9">
        <f>+Z11</f>
        <v>0</v>
      </c>
      <c r="P11" s="9">
        <f t="shared" ref="P11:AA11" si="0">+P12</f>
        <v>0</v>
      </c>
      <c r="Q11" s="9">
        <f t="shared" si="0"/>
        <v>21</v>
      </c>
      <c r="R11" s="9">
        <f t="shared" si="0"/>
        <v>0</v>
      </c>
      <c r="S11" s="9">
        <f t="shared" si="0"/>
        <v>2</v>
      </c>
      <c r="T11" s="9">
        <f t="shared" si="0"/>
        <v>0</v>
      </c>
      <c r="U11" s="9">
        <f t="shared" si="0"/>
        <v>0</v>
      </c>
      <c r="V11" s="9">
        <f t="shared" si="0"/>
        <v>0</v>
      </c>
      <c r="W11" s="9">
        <f t="shared" si="0"/>
        <v>0</v>
      </c>
      <c r="X11" s="9">
        <f t="shared" si="0"/>
        <v>0</v>
      </c>
      <c r="Y11" s="9">
        <f t="shared" si="0"/>
        <v>0</v>
      </c>
      <c r="Z11" s="9">
        <f t="shared" si="0"/>
        <v>0</v>
      </c>
      <c r="AA11" s="9">
        <f t="shared" si="0"/>
        <v>0</v>
      </c>
      <c r="AB11" s="9">
        <v>7133248</v>
      </c>
      <c r="AC11" s="9">
        <v>5544293</v>
      </c>
      <c r="AD11" s="9">
        <v>5544293</v>
      </c>
      <c r="AE11" s="9">
        <v>5085973</v>
      </c>
      <c r="AF11" s="9">
        <f>3381017.16+AR11</f>
        <v>3792991.2800000003</v>
      </c>
      <c r="AG11" s="10">
        <f>+AR11</f>
        <v>411974.12</v>
      </c>
      <c r="AH11" s="313">
        <v>285139.95</v>
      </c>
      <c r="AI11" s="314">
        <v>271343</v>
      </c>
      <c r="AJ11" s="314">
        <v>367824.06</v>
      </c>
      <c r="AK11" s="314">
        <v>344340.84</v>
      </c>
      <c r="AL11" s="314">
        <v>258525.68</v>
      </c>
      <c r="AM11" s="314">
        <v>206517.72</v>
      </c>
      <c r="AN11" s="314">
        <v>0</v>
      </c>
      <c r="AO11" s="314">
        <v>165247.1</v>
      </c>
      <c r="AP11" s="314">
        <v>126820.15</v>
      </c>
      <c r="AQ11" s="314">
        <v>391765.26</v>
      </c>
      <c r="AR11" s="314">
        <v>411974.12</v>
      </c>
      <c r="AS11" s="315">
        <v>0</v>
      </c>
      <c r="AT11" s="136"/>
      <c r="AU11" s="11"/>
      <c r="AV11" s="11"/>
      <c r="AW11" s="11"/>
      <c r="AX11" s="11"/>
      <c r="AY11" s="11"/>
      <c r="AZ11" s="11"/>
      <c r="BA11" s="11"/>
      <c r="BB11" s="11"/>
    </row>
    <row r="12" spans="1:54" s="94" customFormat="1" x14ac:dyDescent="0.25">
      <c r="A12" s="4"/>
      <c r="B12" s="5"/>
      <c r="C12" s="5"/>
      <c r="D12" s="5"/>
      <c r="E12" s="6"/>
      <c r="F12" s="6"/>
      <c r="G12" s="6">
        <v>2</v>
      </c>
      <c r="H12" s="114" t="s">
        <v>60</v>
      </c>
      <c r="I12" s="211" t="s">
        <v>34</v>
      </c>
      <c r="J12" s="11">
        <v>39</v>
      </c>
      <c r="K12" s="11">
        <v>27</v>
      </c>
      <c r="L12" s="11">
        <v>27</v>
      </c>
      <c r="M12" s="11">
        <v>25</v>
      </c>
      <c r="N12" s="11">
        <f>+SUM(P12:AA12)</f>
        <v>23</v>
      </c>
      <c r="O12" s="9">
        <f>+Z12</f>
        <v>0</v>
      </c>
      <c r="P12" s="11">
        <v>0</v>
      </c>
      <c r="Q12" s="11">
        <v>21</v>
      </c>
      <c r="R12" s="11">
        <v>0</v>
      </c>
      <c r="S12" s="11">
        <v>2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/>
      <c r="AC12" s="11"/>
      <c r="AD12" s="11"/>
      <c r="AE12" s="11"/>
      <c r="AF12" s="11"/>
      <c r="AG12" s="10"/>
      <c r="AH12" s="200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6"/>
      <c r="AT12" s="136"/>
      <c r="AU12" s="11"/>
      <c r="AV12" s="11"/>
      <c r="AW12" s="11"/>
      <c r="AX12" s="11"/>
      <c r="AY12" s="11"/>
      <c r="AZ12" s="11"/>
      <c r="BA12" s="11"/>
      <c r="BB12" s="11"/>
    </row>
    <row r="13" spans="1:54" s="94" customFormat="1" x14ac:dyDescent="0.25">
      <c r="A13" s="4"/>
      <c r="B13" s="5"/>
      <c r="C13" s="5"/>
      <c r="D13" s="5"/>
      <c r="E13" s="5">
        <v>2</v>
      </c>
      <c r="F13" s="5">
        <v>0</v>
      </c>
      <c r="G13" s="5"/>
      <c r="H13" s="54" t="s">
        <v>180</v>
      </c>
      <c r="I13" s="211"/>
      <c r="J13" s="11"/>
      <c r="K13" s="11"/>
      <c r="L13" s="11"/>
      <c r="M13" s="11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11"/>
      <c r="AC13" s="11"/>
      <c r="AD13" s="11"/>
      <c r="AE13" s="11"/>
      <c r="AF13" s="11"/>
      <c r="AG13" s="10"/>
      <c r="AH13" s="200"/>
      <c r="AI13" s="11"/>
      <c r="AJ13" s="11"/>
      <c r="AK13" s="9"/>
      <c r="AL13" s="11"/>
      <c r="AM13" s="9"/>
      <c r="AN13" s="9"/>
      <c r="AO13" s="9"/>
      <c r="AP13" s="9"/>
      <c r="AQ13" s="9"/>
      <c r="AR13" s="9"/>
      <c r="AS13" s="10"/>
      <c r="AT13" s="136"/>
      <c r="AU13" s="9">
        <v>30000</v>
      </c>
      <c r="AV13" s="9">
        <v>3000000</v>
      </c>
      <c r="AW13" s="9">
        <v>45000</v>
      </c>
      <c r="AX13" s="9">
        <v>4500000</v>
      </c>
      <c r="AY13" s="9">
        <v>60000</v>
      </c>
      <c r="AZ13" s="9">
        <v>6000000</v>
      </c>
      <c r="BA13" s="9">
        <v>75000</v>
      </c>
      <c r="BB13" s="9">
        <v>7500000</v>
      </c>
    </row>
    <row r="14" spans="1:54" s="94" customFormat="1" ht="45" x14ac:dyDescent="0.25">
      <c r="A14" s="4">
        <v>4</v>
      </c>
      <c r="B14" s="5"/>
      <c r="C14" s="5"/>
      <c r="D14" s="5"/>
      <c r="E14" s="6"/>
      <c r="F14" s="6"/>
      <c r="G14" s="5">
        <v>1</v>
      </c>
      <c r="H14" s="54" t="s">
        <v>181</v>
      </c>
      <c r="I14" s="254" t="s">
        <v>101</v>
      </c>
      <c r="J14" s="9">
        <f>J15</f>
        <v>15001</v>
      </c>
      <c r="K14" s="9">
        <f>K15</f>
        <v>25</v>
      </c>
      <c r="L14" s="9">
        <f>L15</f>
        <v>25</v>
      </c>
      <c r="M14" s="9">
        <f>M15</f>
        <v>25</v>
      </c>
      <c r="N14" s="9">
        <f>SUM(P14:AA14)</f>
        <v>0</v>
      </c>
      <c r="O14" s="9">
        <f>+Z14</f>
        <v>0</v>
      </c>
      <c r="P14" s="9">
        <f t="shared" ref="P14:AA14" si="1">SUM(P15)</f>
        <v>0</v>
      </c>
      <c r="Q14" s="9">
        <f t="shared" si="1"/>
        <v>0</v>
      </c>
      <c r="R14" s="9">
        <f t="shared" si="1"/>
        <v>0</v>
      </c>
      <c r="S14" s="9">
        <f t="shared" si="1"/>
        <v>0</v>
      </c>
      <c r="T14" s="9">
        <f t="shared" si="1"/>
        <v>0</v>
      </c>
      <c r="U14" s="9">
        <f t="shared" si="1"/>
        <v>0</v>
      </c>
      <c r="V14" s="9">
        <f t="shared" si="1"/>
        <v>0</v>
      </c>
      <c r="W14" s="9">
        <f t="shared" si="1"/>
        <v>0</v>
      </c>
      <c r="X14" s="9">
        <f t="shared" si="1"/>
        <v>0</v>
      </c>
      <c r="Y14" s="9">
        <f t="shared" si="1"/>
        <v>0</v>
      </c>
      <c r="Z14" s="9">
        <f t="shared" si="1"/>
        <v>0</v>
      </c>
      <c r="AA14" s="9">
        <f t="shared" si="1"/>
        <v>0</v>
      </c>
      <c r="AB14" s="9">
        <v>3053995</v>
      </c>
      <c r="AC14" s="9">
        <v>2343355</v>
      </c>
      <c r="AD14" s="9">
        <v>2343355</v>
      </c>
      <c r="AE14" s="9">
        <v>1868665</v>
      </c>
      <c r="AF14" s="9">
        <f>1359434.43+AR14</f>
        <v>1528134.43</v>
      </c>
      <c r="AG14" s="10">
        <f>+AR14</f>
        <v>168700</v>
      </c>
      <c r="AH14" s="200">
        <v>103090.31</v>
      </c>
      <c r="AI14" s="11">
        <v>110200</v>
      </c>
      <c r="AJ14" s="11">
        <v>110200</v>
      </c>
      <c r="AK14" s="11">
        <v>165700</v>
      </c>
      <c r="AL14" s="11">
        <v>179400</v>
      </c>
      <c r="AM14" s="11">
        <v>77500</v>
      </c>
      <c r="AN14" s="11">
        <v>387334.44</v>
      </c>
      <c r="AO14" s="11">
        <v>45500</v>
      </c>
      <c r="AP14" s="11">
        <v>10000</v>
      </c>
      <c r="AQ14" s="11">
        <v>155119.35</v>
      </c>
      <c r="AR14" s="202">
        <v>168700</v>
      </c>
      <c r="AS14" s="16">
        <v>0</v>
      </c>
      <c r="AT14" s="136"/>
      <c r="AU14" s="11"/>
      <c r="AV14" s="11"/>
      <c r="AW14" s="11"/>
      <c r="AX14" s="11"/>
      <c r="AY14" s="11"/>
      <c r="AZ14" s="11"/>
      <c r="BA14" s="11"/>
      <c r="BB14" s="11"/>
    </row>
    <row r="15" spans="1:54" s="94" customFormat="1" ht="27.75" thickBot="1" x14ac:dyDescent="0.3">
      <c r="A15" s="105"/>
      <c r="B15" s="113"/>
      <c r="C15" s="113"/>
      <c r="D15" s="113"/>
      <c r="E15" s="63"/>
      <c r="F15" s="63"/>
      <c r="G15" s="63">
        <v>2</v>
      </c>
      <c r="H15" s="64" t="s">
        <v>182</v>
      </c>
      <c r="I15" s="258" t="s">
        <v>101</v>
      </c>
      <c r="J15" s="15">
        <v>15001</v>
      </c>
      <c r="K15" s="15">
        <v>25</v>
      </c>
      <c r="L15" s="15">
        <v>25</v>
      </c>
      <c r="M15" s="15">
        <v>25</v>
      </c>
      <c r="N15" s="15">
        <f>+SUM(P15:AA15)</f>
        <v>0</v>
      </c>
      <c r="O15" s="13">
        <f>+Z15</f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/>
      <c r="AC15" s="15"/>
      <c r="AD15" s="15"/>
      <c r="AE15" s="15"/>
      <c r="AF15" s="15"/>
      <c r="AG15" s="17"/>
      <c r="AH15" s="201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7"/>
      <c r="AT15" s="136"/>
      <c r="AU15" s="11"/>
      <c r="AV15" s="11"/>
      <c r="AW15" s="11"/>
      <c r="AX15" s="11"/>
      <c r="AY15" s="11"/>
      <c r="AZ15" s="11"/>
      <c r="BA15" s="11"/>
      <c r="BB15" s="11"/>
    </row>
    <row r="16" spans="1:54" s="94" customFormat="1" ht="13.5" x14ac:dyDescent="0.25"/>
    <row r="17" spans="8:8" s="94" customFormat="1" ht="13.5" x14ac:dyDescent="0.25"/>
    <row r="18" spans="8:8" s="94" customFormat="1" ht="13.5" x14ac:dyDescent="0.25">
      <c r="H18" s="94" t="s">
        <v>216</v>
      </c>
    </row>
    <row r="19" spans="8:8" s="94" customFormat="1" ht="13.5" x14ac:dyDescent="0.25">
      <c r="H19" s="94" t="s">
        <v>217</v>
      </c>
    </row>
    <row r="20" spans="8:8" s="94" customFormat="1" ht="13.5" x14ac:dyDescent="0.25"/>
  </sheetData>
  <mergeCells count="7">
    <mergeCell ref="AW5:AX5"/>
    <mergeCell ref="AY5:AZ5"/>
    <mergeCell ref="BA5:BB5"/>
    <mergeCell ref="A5:I5"/>
    <mergeCell ref="J5:O5"/>
    <mergeCell ref="AB5:AG5"/>
    <mergeCell ref="AU5:AV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tabColor theme="4" tint="0.39997558519241921"/>
  </sheetPr>
  <dimension ref="A1:BB26"/>
  <sheetViews>
    <sheetView zoomScaleNormal="100" workbookViewId="0">
      <pane xSplit="8" ySplit="6" topLeftCell="I10" activePane="bottomRight" state="frozen"/>
      <selection activeCell="J1" sqref="J1:K1048576"/>
      <selection pane="topRight" activeCell="J1" sqref="J1:K1048576"/>
      <selection pane="bottomLeft" activeCell="J1" sqref="J1:K1048576"/>
      <selection pane="bottomRight" activeCell="M16" sqref="M16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1.7109375" hidden="1" customWidth="1"/>
    <col min="12" max="13" width="11.7109375" customWidth="1"/>
    <col min="14" max="15" width="13.7109375" customWidth="1"/>
    <col min="16" max="27" width="13.7109375" hidden="1" customWidth="1"/>
    <col min="28" max="33" width="13.7109375" customWidth="1"/>
    <col min="34" max="42" width="13.7109375" hidden="1" customWidth="1"/>
    <col min="43" max="43" width="13.7109375" style="224" hidden="1" customWidth="1"/>
    <col min="44" max="45" width="13.7109375" hidden="1" customWidth="1"/>
    <col min="47" max="47" width="11.7109375" customWidth="1"/>
    <col min="48" max="48" width="15.7109375" customWidth="1"/>
    <col min="49" max="49" width="11.7109375" customWidth="1"/>
    <col min="50" max="50" width="15.7109375" customWidth="1"/>
    <col min="51" max="51" width="11.7109375" customWidth="1"/>
    <col min="52" max="52" width="15.7109375" customWidth="1"/>
    <col min="53" max="53" width="11.7109375" customWidth="1"/>
    <col min="54" max="54" width="15.7109375" customWidth="1"/>
  </cols>
  <sheetData>
    <row r="1" spans="1:54" ht="15" customHeight="1" x14ac:dyDescent="0.25">
      <c r="A1" s="32" t="s">
        <v>49</v>
      </c>
    </row>
    <row r="2" spans="1:54" ht="15" customHeight="1" x14ac:dyDescent="0.25">
      <c r="A2" s="32" t="s">
        <v>50</v>
      </c>
    </row>
    <row r="3" spans="1:54" ht="15" customHeight="1" x14ac:dyDescent="0.25">
      <c r="A3" s="32" t="str">
        <f>+'212. FONDETEL'!A3</f>
        <v xml:space="preserve">EJERCICIO FISCAL 2022 - ACTUALIZADA NOVIEMBRE </v>
      </c>
    </row>
    <row r="4" spans="1:54" ht="15" customHeight="1" thickBot="1" x14ac:dyDescent="0.3"/>
    <row r="5" spans="1:54" s="94" customFormat="1" x14ac:dyDescent="0.25">
      <c r="A5" s="328" t="s">
        <v>183</v>
      </c>
      <c r="B5" s="329"/>
      <c r="C5" s="329"/>
      <c r="D5" s="329"/>
      <c r="E5" s="329"/>
      <c r="F5" s="329"/>
      <c r="G5" s="329"/>
      <c r="H5" s="329"/>
      <c r="I5" s="329"/>
      <c r="J5" s="330" t="s">
        <v>1</v>
      </c>
      <c r="K5" s="330"/>
      <c r="L5" s="330"/>
      <c r="M5" s="330"/>
      <c r="N5" s="330"/>
      <c r="O5" s="330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30" t="s">
        <v>2</v>
      </c>
      <c r="AC5" s="330"/>
      <c r="AD5" s="330"/>
      <c r="AE5" s="330"/>
      <c r="AF5" s="330"/>
      <c r="AG5" s="330"/>
      <c r="AH5" s="39"/>
      <c r="AI5" s="39"/>
      <c r="AJ5" s="39"/>
      <c r="AK5" s="39"/>
      <c r="AL5" s="39"/>
      <c r="AM5" s="39"/>
      <c r="AN5" s="39"/>
      <c r="AO5" s="39"/>
      <c r="AP5" s="39"/>
      <c r="AQ5" s="273"/>
      <c r="AR5" s="162"/>
      <c r="AS5" s="40"/>
      <c r="AT5" s="136"/>
      <c r="AU5" s="327" t="s">
        <v>51</v>
      </c>
      <c r="AV5" s="327"/>
      <c r="AW5" s="327" t="s">
        <v>52</v>
      </c>
      <c r="AX5" s="327"/>
      <c r="AY5" s="327" t="s">
        <v>53</v>
      </c>
      <c r="AZ5" s="327"/>
      <c r="BA5" s="327" t="s">
        <v>55</v>
      </c>
      <c r="BB5" s="327"/>
    </row>
    <row r="6" spans="1:54" s="111" customFormat="1" ht="36.75" thickBot="1" x14ac:dyDescent="0.3">
      <c r="A6" s="255" t="s">
        <v>3</v>
      </c>
      <c r="B6" s="246" t="s">
        <v>4</v>
      </c>
      <c r="C6" s="246" t="s">
        <v>5</v>
      </c>
      <c r="D6" s="246" t="s">
        <v>6</v>
      </c>
      <c r="E6" s="246" t="s">
        <v>7</v>
      </c>
      <c r="F6" s="246" t="s">
        <v>8</v>
      </c>
      <c r="G6" s="246" t="s">
        <v>9</v>
      </c>
      <c r="H6" s="247" t="s">
        <v>10</v>
      </c>
      <c r="I6" s="248" t="s">
        <v>11</v>
      </c>
      <c r="J6" s="249" t="s">
        <v>12</v>
      </c>
      <c r="K6" s="249" t="s">
        <v>65</v>
      </c>
      <c r="L6" s="249" t="s">
        <v>13</v>
      </c>
      <c r="M6" s="249" t="s">
        <v>14</v>
      </c>
      <c r="N6" s="250" t="s">
        <v>15</v>
      </c>
      <c r="O6" s="250" t="s">
        <v>16</v>
      </c>
      <c r="P6" s="250" t="s">
        <v>17</v>
      </c>
      <c r="Q6" s="250" t="s">
        <v>18</v>
      </c>
      <c r="R6" s="250" t="s">
        <v>19</v>
      </c>
      <c r="S6" s="250" t="s">
        <v>20</v>
      </c>
      <c r="T6" s="250" t="s">
        <v>21</v>
      </c>
      <c r="U6" s="250" t="s">
        <v>22</v>
      </c>
      <c r="V6" s="250" t="s">
        <v>23</v>
      </c>
      <c r="W6" s="250" t="s">
        <v>24</v>
      </c>
      <c r="X6" s="250" t="s">
        <v>25</v>
      </c>
      <c r="Y6" s="250" t="s">
        <v>26</v>
      </c>
      <c r="Z6" s="250" t="s">
        <v>27</v>
      </c>
      <c r="AA6" s="250" t="s">
        <v>28</v>
      </c>
      <c r="AB6" s="249" t="s">
        <v>12</v>
      </c>
      <c r="AC6" s="249" t="s">
        <v>65</v>
      </c>
      <c r="AD6" s="249" t="s">
        <v>13</v>
      </c>
      <c r="AE6" s="249" t="s">
        <v>14</v>
      </c>
      <c r="AF6" s="250" t="s">
        <v>15</v>
      </c>
      <c r="AG6" s="250" t="s">
        <v>16</v>
      </c>
      <c r="AH6" s="250" t="s">
        <v>17</v>
      </c>
      <c r="AI6" s="250" t="s">
        <v>18</v>
      </c>
      <c r="AJ6" s="250" t="s">
        <v>19</v>
      </c>
      <c r="AK6" s="250" t="s">
        <v>20</v>
      </c>
      <c r="AL6" s="250" t="s">
        <v>21</v>
      </c>
      <c r="AM6" s="250" t="s">
        <v>22</v>
      </c>
      <c r="AN6" s="250" t="s">
        <v>23</v>
      </c>
      <c r="AO6" s="250" t="s">
        <v>24</v>
      </c>
      <c r="AP6" s="250" t="s">
        <v>25</v>
      </c>
      <c r="AQ6" s="274" t="s">
        <v>26</v>
      </c>
      <c r="AR6" s="30" t="s">
        <v>27</v>
      </c>
      <c r="AS6" s="29" t="s">
        <v>28</v>
      </c>
      <c r="AT6" s="137"/>
      <c r="AU6" s="70" t="s">
        <v>54</v>
      </c>
      <c r="AV6" s="70" t="s">
        <v>2</v>
      </c>
      <c r="AW6" s="70" t="s">
        <v>54</v>
      </c>
      <c r="AX6" s="70" t="s">
        <v>2</v>
      </c>
      <c r="AY6" s="70" t="s">
        <v>54</v>
      </c>
      <c r="AZ6" s="70" t="s">
        <v>2</v>
      </c>
      <c r="BA6" s="70" t="s">
        <v>54</v>
      </c>
      <c r="BB6" s="70" t="s">
        <v>2</v>
      </c>
    </row>
    <row r="7" spans="1:54" s="94" customFormat="1" ht="45" x14ac:dyDescent="0.25">
      <c r="A7" s="4"/>
      <c r="B7" s="5">
        <v>20</v>
      </c>
      <c r="C7" s="5"/>
      <c r="D7" s="5"/>
      <c r="E7" s="6"/>
      <c r="F7" s="6"/>
      <c r="G7" s="6"/>
      <c r="H7" s="54" t="s">
        <v>184</v>
      </c>
      <c r="I7" s="2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276"/>
      <c r="AR7" s="199"/>
      <c r="AS7" s="23"/>
      <c r="AT7" s="136"/>
      <c r="AU7" s="11"/>
      <c r="AV7" s="11"/>
      <c r="AW7" s="11"/>
      <c r="AX7" s="11"/>
      <c r="AY7" s="11"/>
      <c r="AZ7" s="11"/>
      <c r="BA7" s="11"/>
      <c r="BB7" s="11"/>
    </row>
    <row r="8" spans="1:54" s="94" customFormat="1" x14ac:dyDescent="0.25">
      <c r="A8" s="4"/>
      <c r="B8" s="5"/>
      <c r="C8" s="5">
        <v>0</v>
      </c>
      <c r="D8" s="5"/>
      <c r="E8" s="6"/>
      <c r="F8" s="6"/>
      <c r="G8" s="6"/>
      <c r="H8" s="54" t="s">
        <v>30</v>
      </c>
      <c r="I8" s="2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276"/>
      <c r="AR8" s="200"/>
      <c r="AS8" s="16"/>
      <c r="AT8" s="136"/>
      <c r="AU8" s="11"/>
      <c r="AV8" s="11"/>
      <c r="AW8" s="11"/>
      <c r="AX8" s="11"/>
      <c r="AY8" s="11"/>
      <c r="AZ8" s="11"/>
      <c r="BA8" s="11"/>
      <c r="BB8" s="11"/>
    </row>
    <row r="9" spans="1:54" s="94" customFormat="1" x14ac:dyDescent="0.25">
      <c r="A9" s="4"/>
      <c r="B9" s="5"/>
      <c r="C9" s="5"/>
      <c r="D9" s="5">
        <v>0</v>
      </c>
      <c r="E9" s="6"/>
      <c r="F9" s="6"/>
      <c r="G9" s="6"/>
      <c r="H9" s="54" t="s">
        <v>31</v>
      </c>
      <c r="I9" s="2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276"/>
      <c r="AR9" s="200"/>
      <c r="AS9" s="16"/>
      <c r="AT9" s="136"/>
      <c r="AU9" s="11"/>
      <c r="AV9" s="11"/>
      <c r="AW9" s="11"/>
      <c r="AX9" s="11"/>
      <c r="AY9" s="11"/>
      <c r="AZ9" s="11"/>
      <c r="BA9" s="11"/>
      <c r="BB9" s="11"/>
    </row>
    <row r="10" spans="1:54" s="94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4" t="s">
        <v>59</v>
      </c>
      <c r="I10" s="2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9">
        <v>14317099.999999963</v>
      </c>
      <c r="AC10" s="9">
        <v>11068011</v>
      </c>
      <c r="AD10" s="9">
        <v>11068011</v>
      </c>
      <c r="AE10" s="9">
        <v>10262594</v>
      </c>
      <c r="AF10" s="9">
        <f>7449846.14+AG10</f>
        <v>8227280.46</v>
      </c>
      <c r="AG10" s="9">
        <f>+AR10</f>
        <v>777434.32</v>
      </c>
      <c r="AH10" s="11">
        <v>533884.52</v>
      </c>
      <c r="AI10" s="11">
        <v>589053.93000000005</v>
      </c>
      <c r="AJ10" s="11">
        <v>681035.37</v>
      </c>
      <c r="AK10" s="11">
        <v>590599.93000000005</v>
      </c>
      <c r="AL10" s="11">
        <v>497769.37</v>
      </c>
      <c r="AM10" s="11">
        <v>567055.81000000006</v>
      </c>
      <c r="AN10" s="11">
        <v>2676831.69</v>
      </c>
      <c r="AO10" s="11">
        <v>469475.48</v>
      </c>
      <c r="AP10" s="11">
        <v>248631.21</v>
      </c>
      <c r="AQ10" s="276">
        <v>1150291.76</v>
      </c>
      <c r="AR10" s="200">
        <v>777434.32</v>
      </c>
      <c r="AS10" s="16">
        <v>0</v>
      </c>
      <c r="AT10" s="136"/>
      <c r="AU10" s="9">
        <v>200</v>
      </c>
      <c r="AV10" s="9">
        <v>15250000</v>
      </c>
      <c r="AW10" s="9">
        <v>200</v>
      </c>
      <c r="AX10" s="9">
        <v>15500000</v>
      </c>
      <c r="AY10" s="9">
        <v>200</v>
      </c>
      <c r="AZ10" s="9">
        <v>15750000</v>
      </c>
      <c r="BA10" s="9">
        <v>200</v>
      </c>
      <c r="BB10" s="9">
        <v>15850000</v>
      </c>
    </row>
    <row r="11" spans="1:54" s="94" customFormat="1" x14ac:dyDescent="0.25">
      <c r="A11" s="4">
        <v>4</v>
      </c>
      <c r="B11" s="5"/>
      <c r="C11" s="5"/>
      <c r="D11" s="5"/>
      <c r="E11" s="6"/>
      <c r="F11" s="6"/>
      <c r="G11" s="5">
        <v>1</v>
      </c>
      <c r="H11" s="54" t="s">
        <v>60</v>
      </c>
      <c r="I11" s="254" t="s">
        <v>34</v>
      </c>
      <c r="J11" s="9">
        <f>J12</f>
        <v>190</v>
      </c>
      <c r="K11" s="9">
        <f>K12</f>
        <v>195</v>
      </c>
      <c r="L11" s="9">
        <f>L12</f>
        <v>195</v>
      </c>
      <c r="M11" s="9">
        <f>M12</f>
        <v>180</v>
      </c>
      <c r="N11" s="9">
        <f>173+O11</f>
        <v>178</v>
      </c>
      <c r="O11" s="9">
        <f>+Z11</f>
        <v>5</v>
      </c>
      <c r="P11" s="9">
        <f t="shared" ref="P11:AA11" si="0">+P12</f>
        <v>0</v>
      </c>
      <c r="Q11" s="9">
        <f t="shared" si="0"/>
        <v>51</v>
      </c>
      <c r="R11" s="9">
        <f t="shared" si="0"/>
        <v>4</v>
      </c>
      <c r="S11" s="9">
        <f t="shared" si="0"/>
        <v>50</v>
      </c>
      <c r="T11" s="9">
        <f t="shared" si="0"/>
        <v>6</v>
      </c>
      <c r="U11" s="9">
        <f t="shared" si="0"/>
        <v>0</v>
      </c>
      <c r="V11" s="9">
        <f t="shared" si="0"/>
        <v>40</v>
      </c>
      <c r="W11" s="9">
        <f t="shared" si="0"/>
        <v>11</v>
      </c>
      <c r="X11" s="9">
        <f t="shared" si="0"/>
        <v>5</v>
      </c>
      <c r="Y11" s="9">
        <v>6</v>
      </c>
      <c r="Z11" s="9">
        <v>5</v>
      </c>
      <c r="AA11" s="9">
        <f t="shared" si="0"/>
        <v>0</v>
      </c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275"/>
      <c r="AR11" s="164"/>
      <c r="AS11" s="10"/>
      <c r="AT11" s="136"/>
      <c r="AU11" s="11"/>
      <c r="AV11" s="11"/>
      <c r="AW11" s="11"/>
      <c r="AX11" s="11"/>
      <c r="AY11" s="11"/>
      <c r="AZ11" s="11"/>
      <c r="BA11" s="11"/>
      <c r="BB11" s="11"/>
    </row>
    <row r="12" spans="1:54" s="94" customFormat="1" x14ac:dyDescent="0.25">
      <c r="A12" s="4"/>
      <c r="B12" s="5"/>
      <c r="C12" s="5"/>
      <c r="D12" s="5"/>
      <c r="E12" s="6"/>
      <c r="F12" s="6"/>
      <c r="G12" s="6">
        <v>2</v>
      </c>
      <c r="H12" s="114" t="s">
        <v>60</v>
      </c>
      <c r="I12" s="211" t="s">
        <v>34</v>
      </c>
      <c r="J12" s="11">
        <v>190</v>
      </c>
      <c r="K12" s="11">
        <v>195</v>
      </c>
      <c r="L12" s="11">
        <v>195</v>
      </c>
      <c r="M12" s="11">
        <v>180</v>
      </c>
      <c r="N12" s="11">
        <f>173+O12</f>
        <v>178</v>
      </c>
      <c r="O12" s="11">
        <f>+Z12</f>
        <v>5</v>
      </c>
      <c r="P12" s="11">
        <v>0</v>
      </c>
      <c r="Q12" s="11">
        <v>51</v>
      </c>
      <c r="R12" s="11">
        <v>4</v>
      </c>
      <c r="S12" s="11">
        <v>50</v>
      </c>
      <c r="T12" s="11">
        <v>6</v>
      </c>
      <c r="U12" s="11">
        <v>0</v>
      </c>
      <c r="V12" s="11">
        <v>40</v>
      </c>
      <c r="W12" s="11">
        <v>11</v>
      </c>
      <c r="X12" s="11">
        <v>5</v>
      </c>
      <c r="Y12" s="11">
        <v>6</v>
      </c>
      <c r="Z12" s="11">
        <v>5</v>
      </c>
      <c r="AA12" s="11">
        <v>0</v>
      </c>
      <c r="AB12" s="9"/>
      <c r="AC12" s="9"/>
      <c r="AD12" s="9"/>
      <c r="AE12" s="9"/>
      <c r="AF12" s="9"/>
      <c r="AG12" s="9"/>
      <c r="AH12" s="9"/>
      <c r="AI12" s="9"/>
      <c r="AJ12" s="9"/>
      <c r="AK12" s="11"/>
      <c r="AL12" s="9"/>
      <c r="AM12" s="11"/>
      <c r="AN12" s="11"/>
      <c r="AO12" s="11"/>
      <c r="AP12" s="11"/>
      <c r="AQ12" s="276"/>
      <c r="AR12" s="200"/>
      <c r="AS12" s="16"/>
      <c r="AT12" s="136"/>
      <c r="AU12" s="11"/>
      <c r="AV12" s="11"/>
      <c r="AW12" s="11"/>
      <c r="AX12" s="11"/>
      <c r="AY12" s="11"/>
      <c r="AZ12" s="11"/>
      <c r="BA12" s="11"/>
      <c r="BB12" s="11"/>
    </row>
    <row r="13" spans="1:54" s="94" customFormat="1" ht="30" x14ac:dyDescent="0.25">
      <c r="A13" s="4"/>
      <c r="B13" s="5"/>
      <c r="C13" s="5"/>
      <c r="D13" s="5"/>
      <c r="E13" s="5">
        <v>2</v>
      </c>
      <c r="F13" s="5">
        <v>0</v>
      </c>
      <c r="G13" s="5"/>
      <c r="H13" s="54" t="s">
        <v>185</v>
      </c>
      <c r="I13" s="2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9">
        <v>2825100</v>
      </c>
      <c r="AC13" s="9">
        <v>303539</v>
      </c>
      <c r="AD13" s="9">
        <v>307989</v>
      </c>
      <c r="AE13" s="9">
        <v>511958</v>
      </c>
      <c r="AF13" s="9">
        <f>38705.33+AG13</f>
        <v>38705.33</v>
      </c>
      <c r="AG13" s="9">
        <f>+AR13</f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18724</v>
      </c>
      <c r="AN13" s="11">
        <v>18724</v>
      </c>
      <c r="AO13" s="11">
        <v>0</v>
      </c>
      <c r="AP13" s="11">
        <v>0</v>
      </c>
      <c r="AQ13" s="276">
        <v>19981.330000000002</v>
      </c>
      <c r="AR13" s="200">
        <v>0</v>
      </c>
      <c r="AS13" s="16">
        <v>0</v>
      </c>
      <c r="AT13" s="136"/>
      <c r="AU13" s="9">
        <v>1500</v>
      </c>
      <c r="AV13" s="9">
        <v>2825100</v>
      </c>
      <c r="AW13" s="9">
        <v>1500</v>
      </c>
      <c r="AX13" s="9">
        <v>2825100</v>
      </c>
      <c r="AY13" s="9">
        <v>1500</v>
      </c>
      <c r="AZ13" s="9">
        <v>2825100</v>
      </c>
      <c r="BA13" s="9">
        <v>1500</v>
      </c>
      <c r="BB13" s="9">
        <v>2825100</v>
      </c>
    </row>
    <row r="14" spans="1:54" s="94" customFormat="1" ht="30" x14ac:dyDescent="0.25">
      <c r="A14" s="4">
        <v>4</v>
      </c>
      <c r="B14" s="5"/>
      <c r="C14" s="5"/>
      <c r="D14" s="5"/>
      <c r="E14" s="6"/>
      <c r="F14" s="6"/>
      <c r="G14" s="5">
        <v>1</v>
      </c>
      <c r="H14" s="54" t="s">
        <v>186</v>
      </c>
      <c r="I14" s="254" t="s">
        <v>187</v>
      </c>
      <c r="J14" s="9">
        <f>J15</f>
        <v>1500</v>
      </c>
      <c r="K14" s="9">
        <f>K15</f>
        <v>114</v>
      </c>
      <c r="L14" s="9">
        <f>L15</f>
        <v>114</v>
      </c>
      <c r="M14" s="9">
        <v>300</v>
      </c>
      <c r="N14" s="9">
        <f>SUM(P14:AA14)</f>
        <v>275</v>
      </c>
      <c r="O14" s="9">
        <f>+Z14</f>
        <v>50</v>
      </c>
      <c r="P14" s="9">
        <f t="shared" ref="P14:AA14" si="1">+P15</f>
        <v>0</v>
      </c>
      <c r="Q14" s="9">
        <f t="shared" si="1"/>
        <v>0</v>
      </c>
      <c r="R14" s="9">
        <f t="shared" si="1"/>
        <v>0</v>
      </c>
      <c r="S14" s="9">
        <f t="shared" si="1"/>
        <v>0</v>
      </c>
      <c r="T14" s="9">
        <f t="shared" si="1"/>
        <v>0</v>
      </c>
      <c r="U14" s="9">
        <f t="shared" si="1"/>
        <v>0</v>
      </c>
      <c r="V14" s="9">
        <f t="shared" si="1"/>
        <v>0</v>
      </c>
      <c r="W14" s="9">
        <f t="shared" si="1"/>
        <v>75</v>
      </c>
      <c r="X14" s="9">
        <v>50</v>
      </c>
      <c r="Y14" s="9">
        <v>100</v>
      </c>
      <c r="Z14" s="9">
        <v>50</v>
      </c>
      <c r="AA14" s="9">
        <f t="shared" si="1"/>
        <v>0</v>
      </c>
      <c r="AB14" s="9"/>
      <c r="AC14" s="9"/>
      <c r="AD14" s="9"/>
      <c r="AE14" s="9"/>
      <c r="AF14" s="9"/>
      <c r="AG14" s="11"/>
      <c r="AH14" s="9"/>
      <c r="AI14" s="9"/>
      <c r="AJ14" s="9"/>
      <c r="AK14" s="9"/>
      <c r="AL14" s="9"/>
      <c r="AM14" s="9"/>
      <c r="AN14" s="9"/>
      <c r="AO14" s="9"/>
      <c r="AP14" s="9"/>
      <c r="AQ14" s="275"/>
      <c r="AR14" s="164"/>
      <c r="AS14" s="10"/>
      <c r="AT14" s="136"/>
      <c r="AU14" s="11"/>
      <c r="AV14" s="11"/>
      <c r="AW14" s="11"/>
      <c r="AX14" s="11"/>
      <c r="AY14" s="11"/>
      <c r="AZ14" s="11"/>
      <c r="BA14" s="11"/>
      <c r="BB14" s="11"/>
    </row>
    <row r="15" spans="1:54" s="94" customFormat="1" ht="27" x14ac:dyDescent="0.25">
      <c r="A15" s="4"/>
      <c r="B15" s="5"/>
      <c r="C15" s="5"/>
      <c r="D15" s="5"/>
      <c r="E15" s="6"/>
      <c r="F15" s="6"/>
      <c r="G15" s="6">
        <v>2</v>
      </c>
      <c r="H15" s="114" t="s">
        <v>186</v>
      </c>
      <c r="I15" s="211" t="s">
        <v>187</v>
      </c>
      <c r="J15" s="11">
        <v>1500</v>
      </c>
      <c r="K15" s="11">
        <v>114</v>
      </c>
      <c r="L15" s="11">
        <v>114</v>
      </c>
      <c r="M15" s="11">
        <v>300</v>
      </c>
      <c r="N15" s="11">
        <f>SUM(P15:AA15)</f>
        <v>275</v>
      </c>
      <c r="O15" s="11">
        <f>+Z15</f>
        <v>50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75</v>
      </c>
      <c r="X15" s="11">
        <v>50</v>
      </c>
      <c r="Y15" s="11">
        <v>100</v>
      </c>
      <c r="Z15" s="11">
        <v>50</v>
      </c>
      <c r="AA15" s="11">
        <v>0</v>
      </c>
      <c r="AB15" s="9"/>
      <c r="AC15" s="9"/>
      <c r="AD15" s="9"/>
      <c r="AE15" s="9"/>
      <c r="AF15" s="9"/>
      <c r="AG15" s="11"/>
      <c r="AH15" s="9"/>
      <c r="AI15" s="11"/>
      <c r="AJ15" s="9"/>
      <c r="AK15" s="11"/>
      <c r="AL15" s="11"/>
      <c r="AM15" s="11"/>
      <c r="AN15" s="11"/>
      <c r="AO15" s="11"/>
      <c r="AP15" s="11"/>
      <c r="AQ15" s="276"/>
      <c r="AR15" s="200"/>
      <c r="AS15" s="16"/>
      <c r="AT15" s="136"/>
      <c r="AU15" s="11"/>
      <c r="AV15" s="11"/>
      <c r="AW15" s="11"/>
      <c r="AX15" s="11"/>
      <c r="AY15" s="11"/>
      <c r="AZ15" s="11"/>
      <c r="BA15" s="11"/>
      <c r="BB15" s="11"/>
    </row>
    <row r="16" spans="1:54" s="94" customFormat="1" ht="27.75" thickBot="1" x14ac:dyDescent="0.3">
      <c r="A16" s="105"/>
      <c r="B16" s="113"/>
      <c r="C16" s="113"/>
      <c r="D16" s="63"/>
      <c r="E16" s="63"/>
      <c r="F16" s="63"/>
      <c r="G16" s="63">
        <v>3</v>
      </c>
      <c r="H16" s="64" t="s">
        <v>188</v>
      </c>
      <c r="I16" s="258" t="s">
        <v>189</v>
      </c>
      <c r="J16" s="15">
        <v>1800000</v>
      </c>
      <c r="K16" s="15">
        <v>1323000</v>
      </c>
      <c r="L16" s="15">
        <v>1323000</v>
      </c>
      <c r="M16" s="15">
        <v>1350000</v>
      </c>
      <c r="N16" s="15">
        <f>1070482+O16</f>
        <v>1235000</v>
      </c>
      <c r="O16" s="15">
        <f>+Z16</f>
        <v>164518</v>
      </c>
      <c r="P16" s="15">
        <v>0</v>
      </c>
      <c r="Q16" s="15">
        <v>112500</v>
      </c>
      <c r="R16" s="15">
        <v>112500</v>
      </c>
      <c r="S16" s="15">
        <v>0</v>
      </c>
      <c r="T16" s="15">
        <v>0</v>
      </c>
      <c r="U16" s="15">
        <v>0</v>
      </c>
      <c r="V16" s="15">
        <v>0</v>
      </c>
      <c r="W16" s="15">
        <v>565964</v>
      </c>
      <c r="X16" s="15">
        <v>115000</v>
      </c>
      <c r="Y16" s="15">
        <v>164730</v>
      </c>
      <c r="Z16" s="15">
        <v>164518</v>
      </c>
      <c r="AA16" s="15">
        <v>0</v>
      </c>
      <c r="AB16" s="13"/>
      <c r="AC16" s="13"/>
      <c r="AD16" s="13"/>
      <c r="AE16" s="13"/>
      <c r="AF16" s="13"/>
      <c r="AG16" s="13"/>
      <c r="AH16" s="13"/>
      <c r="AI16" s="15"/>
      <c r="AJ16" s="15"/>
      <c r="AK16" s="15"/>
      <c r="AL16" s="15"/>
      <c r="AM16" s="15"/>
      <c r="AN16" s="15"/>
      <c r="AO16" s="15"/>
      <c r="AP16" s="15"/>
      <c r="AQ16" s="277"/>
      <c r="AR16" s="201"/>
      <c r="AS16" s="17"/>
      <c r="AT16" s="136"/>
      <c r="AU16" s="11"/>
      <c r="AV16" s="11"/>
      <c r="AW16" s="11"/>
      <c r="AX16" s="11"/>
      <c r="AY16" s="11"/>
      <c r="AZ16" s="11"/>
      <c r="BA16" s="11"/>
      <c r="BB16" s="11"/>
    </row>
    <row r="17" spans="8:43" s="94" customFormat="1" ht="13.5" x14ac:dyDescent="0.25">
      <c r="AQ17" s="238"/>
    </row>
    <row r="18" spans="8:43" s="94" customFormat="1" ht="13.5" x14ac:dyDescent="0.25">
      <c r="AQ18" s="238"/>
    </row>
    <row r="19" spans="8:43" s="94" customFormat="1" ht="13.5" x14ac:dyDescent="0.25">
      <c r="AQ19" s="238"/>
    </row>
    <row r="20" spans="8:43" s="94" customFormat="1" ht="13.5" x14ac:dyDescent="0.25">
      <c r="H20" s="94" t="s">
        <v>216</v>
      </c>
      <c r="AQ20" s="238"/>
    </row>
    <row r="21" spans="8:43" s="94" customFormat="1" ht="13.5" x14ac:dyDescent="0.25">
      <c r="H21" s="94" t="s">
        <v>226</v>
      </c>
      <c r="AQ21" s="238"/>
    </row>
    <row r="22" spans="8:43" s="94" customFormat="1" ht="13.5" x14ac:dyDescent="0.25">
      <c r="AQ22" s="238"/>
    </row>
    <row r="23" spans="8:43" s="94" customFormat="1" ht="13.5" x14ac:dyDescent="0.25">
      <c r="AQ23" s="238"/>
    </row>
    <row r="24" spans="8:43" s="94" customFormat="1" ht="13.5" x14ac:dyDescent="0.25">
      <c r="AQ24" s="238"/>
    </row>
    <row r="25" spans="8:43" s="94" customFormat="1" ht="13.5" x14ac:dyDescent="0.25">
      <c r="AQ25" s="238"/>
    </row>
    <row r="26" spans="8:43" s="94" customFormat="1" ht="13.5" x14ac:dyDescent="0.25">
      <c r="AQ26" s="238"/>
    </row>
  </sheetData>
  <mergeCells count="7">
    <mergeCell ref="AW5:AX5"/>
    <mergeCell ref="AY5:AZ5"/>
    <mergeCell ref="BA5:BB5"/>
    <mergeCell ref="A5:I5"/>
    <mergeCell ref="J5:O5"/>
    <mergeCell ref="AB5:AG5"/>
    <mergeCell ref="AU5:AV5"/>
  </mergeCells>
  <pageMargins left="0.7" right="0.7" top="0.75" bottom="0.75" header="0.3" footer="0.3"/>
  <ignoredErrors>
    <ignoredError sqref="AF11:AF12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tabColor theme="4" tint="0.39997558519241921"/>
  </sheetPr>
  <dimension ref="A1:BB29"/>
  <sheetViews>
    <sheetView zoomScale="85" zoomScaleNormal="85" workbookViewId="0">
      <selection activeCell="M20" sqref="M20"/>
    </sheetView>
  </sheetViews>
  <sheetFormatPr baseColWidth="10" defaultRowHeight="17.25" x14ac:dyDescent="0.3"/>
  <cols>
    <col min="1" max="7" width="3.7109375" customWidth="1"/>
    <col min="8" max="8" width="43.28515625" customWidth="1"/>
    <col min="9" max="9" width="11.7109375" customWidth="1"/>
    <col min="10" max="11" width="10.7109375" hidden="1" customWidth="1"/>
    <col min="12" max="13" width="10.7109375" customWidth="1"/>
    <col min="14" max="15" width="13.7109375" style="145" customWidth="1"/>
    <col min="16" max="27" width="13.7109375" style="145" hidden="1" customWidth="1"/>
    <col min="28" max="32" width="13.7109375" style="145" customWidth="1"/>
    <col min="33" max="33" width="12.7109375" style="145" customWidth="1"/>
    <col min="34" max="44" width="13.7109375" style="145" hidden="1" customWidth="1"/>
    <col min="45" max="45" width="13.7109375" style="145" customWidth="1"/>
    <col min="47" max="47" width="10.7109375" customWidth="1"/>
    <col min="48" max="48" width="15.7109375" customWidth="1"/>
    <col min="49" max="49" width="10.7109375" customWidth="1"/>
    <col min="50" max="50" width="15.7109375" customWidth="1"/>
    <col min="51" max="51" width="10.7109375" customWidth="1"/>
    <col min="52" max="52" width="15.7109375" customWidth="1"/>
    <col min="53" max="53" width="10.7109375" customWidth="1"/>
    <col min="54" max="54" width="15.7109375" customWidth="1"/>
  </cols>
  <sheetData>
    <row r="1" spans="1:54" ht="15" customHeight="1" x14ac:dyDescent="0.3">
      <c r="A1" s="32" t="s">
        <v>49</v>
      </c>
    </row>
    <row r="2" spans="1:54" ht="15" customHeight="1" x14ac:dyDescent="0.3">
      <c r="A2" s="32" t="s">
        <v>50</v>
      </c>
    </row>
    <row r="3" spans="1:54" ht="15" customHeight="1" x14ac:dyDescent="0.3">
      <c r="A3" s="32" t="str">
        <f>+'214. UDEVIPO'!A3</f>
        <v xml:space="preserve">EJERCICIO FISCAL 2022 - ACTUALIZADA NOVIEMBRE </v>
      </c>
    </row>
    <row r="4" spans="1:54" ht="15" customHeight="1" thickBot="1" x14ac:dyDescent="0.35"/>
    <row r="5" spans="1:54" s="94" customFormat="1" ht="15" x14ac:dyDescent="0.25">
      <c r="A5" s="334" t="s">
        <v>190</v>
      </c>
      <c r="B5" s="335"/>
      <c r="C5" s="335"/>
      <c r="D5" s="335"/>
      <c r="E5" s="335"/>
      <c r="F5" s="335"/>
      <c r="G5" s="335"/>
      <c r="H5" s="335"/>
      <c r="I5" s="335"/>
      <c r="J5" s="330" t="s">
        <v>1</v>
      </c>
      <c r="K5" s="330"/>
      <c r="L5" s="330"/>
      <c r="M5" s="330"/>
      <c r="N5" s="330"/>
      <c r="O5" s="330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30" t="s">
        <v>2</v>
      </c>
      <c r="AC5" s="330"/>
      <c r="AD5" s="330"/>
      <c r="AE5" s="330"/>
      <c r="AF5" s="330"/>
      <c r="AG5" s="331"/>
      <c r="AH5" s="162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40"/>
      <c r="AT5" s="51"/>
      <c r="AU5" s="327" t="s">
        <v>51</v>
      </c>
      <c r="AV5" s="327"/>
      <c r="AW5" s="327" t="s">
        <v>52</v>
      </c>
      <c r="AX5" s="327"/>
      <c r="AY5" s="327" t="s">
        <v>53</v>
      </c>
      <c r="AZ5" s="327"/>
      <c r="BA5" s="327" t="s">
        <v>55</v>
      </c>
      <c r="BB5" s="327"/>
    </row>
    <row r="6" spans="1:54" s="111" customFormat="1" ht="36.75" thickBot="1" x14ac:dyDescent="0.3">
      <c r="A6" s="255" t="s">
        <v>3</v>
      </c>
      <c r="B6" s="246" t="s">
        <v>4</v>
      </c>
      <c r="C6" s="246" t="s">
        <v>5</v>
      </c>
      <c r="D6" s="246" t="s">
        <v>6</v>
      </c>
      <c r="E6" s="246" t="s">
        <v>7</v>
      </c>
      <c r="F6" s="246" t="s">
        <v>8</v>
      </c>
      <c r="G6" s="246" t="s">
        <v>9</v>
      </c>
      <c r="H6" s="247" t="s">
        <v>10</v>
      </c>
      <c r="I6" s="248" t="s">
        <v>11</v>
      </c>
      <c r="J6" s="249" t="s">
        <v>12</v>
      </c>
      <c r="K6" s="249" t="s">
        <v>65</v>
      </c>
      <c r="L6" s="249" t="s">
        <v>13</v>
      </c>
      <c r="M6" s="249" t="s">
        <v>14</v>
      </c>
      <c r="N6" s="250" t="s">
        <v>15</v>
      </c>
      <c r="O6" s="250" t="s">
        <v>16</v>
      </c>
      <c r="P6" s="250" t="s">
        <v>17</v>
      </c>
      <c r="Q6" s="250" t="s">
        <v>18</v>
      </c>
      <c r="R6" s="250" t="s">
        <v>19</v>
      </c>
      <c r="S6" s="250" t="s">
        <v>20</v>
      </c>
      <c r="T6" s="250" t="s">
        <v>21</v>
      </c>
      <c r="U6" s="250" t="s">
        <v>22</v>
      </c>
      <c r="V6" s="250" t="s">
        <v>23</v>
      </c>
      <c r="W6" s="250" t="s">
        <v>24</v>
      </c>
      <c r="X6" s="250" t="s">
        <v>25</v>
      </c>
      <c r="Y6" s="250" t="s">
        <v>26</v>
      </c>
      <c r="Z6" s="250" t="s">
        <v>27</v>
      </c>
      <c r="AA6" s="250" t="s">
        <v>28</v>
      </c>
      <c r="AB6" s="249" t="s">
        <v>12</v>
      </c>
      <c r="AC6" s="249" t="s">
        <v>65</v>
      </c>
      <c r="AD6" s="249" t="s">
        <v>13</v>
      </c>
      <c r="AE6" s="249" t="s">
        <v>14</v>
      </c>
      <c r="AF6" s="250" t="s">
        <v>15</v>
      </c>
      <c r="AG6" s="256" t="s">
        <v>16</v>
      </c>
      <c r="AH6" s="30" t="s">
        <v>17</v>
      </c>
      <c r="AI6" s="28" t="s">
        <v>18</v>
      </c>
      <c r="AJ6" s="28" t="s">
        <v>19</v>
      </c>
      <c r="AK6" s="28" t="s">
        <v>20</v>
      </c>
      <c r="AL6" s="28" t="s">
        <v>21</v>
      </c>
      <c r="AM6" s="28" t="s">
        <v>22</v>
      </c>
      <c r="AN6" s="28" t="s">
        <v>23</v>
      </c>
      <c r="AO6" s="28" t="s">
        <v>24</v>
      </c>
      <c r="AP6" s="28" t="s">
        <v>25</v>
      </c>
      <c r="AQ6" s="28" t="s">
        <v>26</v>
      </c>
      <c r="AR6" s="28" t="s">
        <v>27</v>
      </c>
      <c r="AS6" s="29" t="s">
        <v>28</v>
      </c>
      <c r="AT6" s="95"/>
      <c r="AU6" s="70" t="s">
        <v>54</v>
      </c>
      <c r="AV6" s="70" t="s">
        <v>2</v>
      </c>
      <c r="AW6" s="70" t="s">
        <v>54</v>
      </c>
      <c r="AX6" s="70" t="s">
        <v>2</v>
      </c>
      <c r="AY6" s="70" t="s">
        <v>54</v>
      </c>
      <c r="AZ6" s="70" t="s">
        <v>2</v>
      </c>
      <c r="BA6" s="70" t="s">
        <v>54</v>
      </c>
      <c r="BB6" s="70" t="s">
        <v>2</v>
      </c>
    </row>
    <row r="7" spans="1:54" s="115" customFormat="1" ht="30" x14ac:dyDescent="0.25">
      <c r="A7" s="4"/>
      <c r="B7" s="5">
        <v>18</v>
      </c>
      <c r="C7" s="5"/>
      <c r="D7" s="5"/>
      <c r="E7" s="5"/>
      <c r="F7" s="5"/>
      <c r="G7" s="5"/>
      <c r="H7" s="54" t="s">
        <v>191</v>
      </c>
      <c r="I7" s="211"/>
      <c r="J7" s="144"/>
      <c r="K7" s="144"/>
      <c r="L7" s="144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9"/>
      <c r="AC7" s="9"/>
      <c r="AD7" s="9"/>
      <c r="AE7" s="11"/>
      <c r="AF7" s="11"/>
      <c r="AG7" s="16"/>
      <c r="AH7" s="199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3"/>
      <c r="AT7" s="136"/>
      <c r="AU7" s="11"/>
      <c r="AV7" s="11"/>
      <c r="AW7" s="11"/>
      <c r="AX7" s="11"/>
      <c r="AY7" s="11"/>
      <c r="AZ7" s="11"/>
      <c r="BA7" s="11"/>
      <c r="BB7" s="11"/>
    </row>
    <row r="8" spans="1:54" s="115" customFormat="1" ht="15" x14ac:dyDescent="0.25">
      <c r="A8" s="4"/>
      <c r="B8" s="5"/>
      <c r="C8" s="5">
        <v>0</v>
      </c>
      <c r="D8" s="5"/>
      <c r="E8" s="5"/>
      <c r="F8" s="5"/>
      <c r="G8" s="5"/>
      <c r="H8" s="54" t="s">
        <v>30</v>
      </c>
      <c r="I8" s="2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6"/>
      <c r="AH8" s="200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6"/>
      <c r="AT8" s="136"/>
      <c r="AU8" s="11"/>
      <c r="AV8" s="11"/>
      <c r="AW8" s="11"/>
      <c r="AX8" s="11"/>
      <c r="AY8" s="11"/>
      <c r="AZ8" s="11"/>
      <c r="BA8" s="11"/>
      <c r="BB8" s="11"/>
    </row>
    <row r="9" spans="1:54" s="115" customFormat="1" ht="15" x14ac:dyDescent="0.25">
      <c r="A9" s="4"/>
      <c r="B9" s="5"/>
      <c r="C9" s="5"/>
      <c r="D9" s="5">
        <v>0</v>
      </c>
      <c r="E9" s="5"/>
      <c r="F9" s="5"/>
      <c r="G9" s="5"/>
      <c r="H9" s="54" t="s">
        <v>31</v>
      </c>
      <c r="I9" s="2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6"/>
      <c r="AH9" s="200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6"/>
      <c r="AT9" s="136"/>
      <c r="AU9" s="11"/>
      <c r="AV9" s="11"/>
      <c r="AW9" s="11"/>
      <c r="AX9" s="11"/>
      <c r="AY9" s="11"/>
      <c r="AZ9" s="11"/>
      <c r="BA9" s="11"/>
      <c r="BB9" s="11"/>
    </row>
    <row r="10" spans="1:54" s="115" customFormat="1" ht="15" x14ac:dyDescent="0.25">
      <c r="A10" s="4"/>
      <c r="B10" s="5"/>
      <c r="C10" s="5"/>
      <c r="D10" s="5"/>
      <c r="E10" s="5">
        <v>1</v>
      </c>
      <c r="F10" s="5">
        <v>0</v>
      </c>
      <c r="G10" s="5"/>
      <c r="H10" s="54" t="s">
        <v>59</v>
      </c>
      <c r="I10" s="2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9">
        <v>23206037.580000002</v>
      </c>
      <c r="AC10" s="9">
        <v>9765053</v>
      </c>
      <c r="AD10" s="9">
        <v>9765053</v>
      </c>
      <c r="AE10" s="9">
        <v>9584449</v>
      </c>
      <c r="AF10" s="9">
        <f>7872477.67+AG10</f>
        <v>8483289.4700000007</v>
      </c>
      <c r="AG10" s="10">
        <f>+AR10</f>
        <v>610811.80000000005</v>
      </c>
      <c r="AH10" s="200">
        <v>159598.01999999999</v>
      </c>
      <c r="AI10" s="11">
        <v>1196157.21</v>
      </c>
      <c r="AJ10" s="11">
        <v>680541.12</v>
      </c>
      <c r="AK10" s="11">
        <v>681577.15</v>
      </c>
      <c r="AL10" s="11">
        <v>686272.65</v>
      </c>
      <c r="AM10" s="11">
        <v>674909.2</v>
      </c>
      <c r="AN10" s="11">
        <v>1918338.22</v>
      </c>
      <c r="AO10" s="11">
        <v>493022.51</v>
      </c>
      <c r="AP10" s="11">
        <v>168397.52</v>
      </c>
      <c r="AQ10" s="11">
        <v>695290.02</v>
      </c>
      <c r="AR10" s="11">
        <v>610811.80000000005</v>
      </c>
      <c r="AS10" s="16">
        <v>0</v>
      </c>
      <c r="AT10" s="136"/>
      <c r="AU10" s="9">
        <v>72</v>
      </c>
      <c r="AV10" s="9">
        <v>23902218.707400002</v>
      </c>
      <c r="AW10" s="9">
        <v>72</v>
      </c>
      <c r="AX10" s="9">
        <v>24619285.268622007</v>
      </c>
      <c r="AY10" s="9">
        <v>72</v>
      </c>
      <c r="AZ10" s="9">
        <v>25357863.826680653</v>
      </c>
      <c r="BA10" s="9">
        <v>72</v>
      </c>
      <c r="BB10" s="9">
        <v>26118599.741481084</v>
      </c>
    </row>
    <row r="11" spans="1:54" s="115" customFormat="1" ht="15" x14ac:dyDescent="0.25">
      <c r="A11" s="4">
        <v>4</v>
      </c>
      <c r="B11" s="5"/>
      <c r="C11" s="5"/>
      <c r="D11" s="5"/>
      <c r="E11" s="5"/>
      <c r="F11" s="5"/>
      <c r="G11" s="5">
        <v>1</v>
      </c>
      <c r="H11" s="54" t="s">
        <v>60</v>
      </c>
      <c r="I11" s="254" t="s">
        <v>34</v>
      </c>
      <c r="J11" s="9">
        <f>J12</f>
        <v>72</v>
      </c>
      <c r="K11" s="9">
        <f>K12</f>
        <v>686</v>
      </c>
      <c r="L11" s="9">
        <f>L12</f>
        <v>686</v>
      </c>
      <c r="M11" s="9">
        <f>M12</f>
        <v>32</v>
      </c>
      <c r="N11" s="9">
        <f>SUM(P11:AA11)</f>
        <v>30</v>
      </c>
      <c r="O11" s="9">
        <f>+Z11</f>
        <v>8</v>
      </c>
      <c r="P11" s="9">
        <f t="shared" ref="P11:AA11" si="0">+P12</f>
        <v>0</v>
      </c>
      <c r="Q11" s="9">
        <f t="shared" si="0"/>
        <v>2</v>
      </c>
      <c r="R11" s="9">
        <f t="shared" si="0"/>
        <v>2</v>
      </c>
      <c r="S11" s="9">
        <f t="shared" si="0"/>
        <v>2</v>
      </c>
      <c r="T11" s="9">
        <f t="shared" si="0"/>
        <v>2</v>
      </c>
      <c r="U11" s="9">
        <f>+U12</f>
        <v>3</v>
      </c>
      <c r="V11" s="9">
        <f t="shared" si="0"/>
        <v>3</v>
      </c>
      <c r="W11" s="9">
        <f t="shared" si="0"/>
        <v>3</v>
      </c>
      <c r="X11" s="9">
        <f t="shared" si="0"/>
        <v>3</v>
      </c>
      <c r="Y11" s="9">
        <v>2</v>
      </c>
      <c r="Z11" s="9">
        <v>8</v>
      </c>
      <c r="AA11" s="9">
        <f t="shared" si="0"/>
        <v>0</v>
      </c>
      <c r="AB11" s="9"/>
      <c r="AC11" s="9"/>
      <c r="AD11" s="9"/>
      <c r="AE11" s="9"/>
      <c r="AF11" s="9"/>
      <c r="AG11" s="10"/>
      <c r="AH11" s="164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10"/>
      <c r="AT11" s="136"/>
      <c r="AU11" s="9"/>
      <c r="AV11" s="9"/>
      <c r="AW11" s="9"/>
      <c r="AX11" s="9"/>
      <c r="AY11" s="9"/>
      <c r="AZ11" s="9"/>
      <c r="BA11" s="9"/>
      <c r="BB11" s="9"/>
    </row>
    <row r="12" spans="1:54" s="115" customFormat="1" ht="15" x14ac:dyDescent="0.25">
      <c r="A12" s="4"/>
      <c r="B12" s="5"/>
      <c r="C12" s="5"/>
      <c r="D12" s="5"/>
      <c r="E12" s="5"/>
      <c r="F12" s="5"/>
      <c r="G12" s="6">
        <v>2</v>
      </c>
      <c r="H12" s="114" t="s">
        <v>60</v>
      </c>
      <c r="I12" s="211" t="s">
        <v>34</v>
      </c>
      <c r="J12" s="11">
        <v>72</v>
      </c>
      <c r="K12" s="11">
        <v>686</v>
      </c>
      <c r="L12" s="11">
        <v>686</v>
      </c>
      <c r="M12" s="11">
        <v>32</v>
      </c>
      <c r="N12" s="11">
        <f>SUM(P12:AA12)</f>
        <v>30</v>
      </c>
      <c r="O12" s="11">
        <f>+Z12</f>
        <v>8</v>
      </c>
      <c r="P12" s="11">
        <v>0</v>
      </c>
      <c r="Q12" s="11">
        <v>2</v>
      </c>
      <c r="R12" s="11">
        <v>2</v>
      </c>
      <c r="S12" s="11">
        <v>2</v>
      </c>
      <c r="T12" s="11">
        <v>2</v>
      </c>
      <c r="U12" s="11">
        <v>3</v>
      </c>
      <c r="V12" s="11">
        <v>3</v>
      </c>
      <c r="W12" s="11">
        <v>3</v>
      </c>
      <c r="X12" s="11">
        <v>3</v>
      </c>
      <c r="Y12" s="11">
        <v>2</v>
      </c>
      <c r="Z12" s="11">
        <v>8</v>
      </c>
      <c r="AA12" s="11">
        <v>0</v>
      </c>
      <c r="AB12" s="9"/>
      <c r="AC12" s="9"/>
      <c r="AD12" s="9"/>
      <c r="AE12" s="9"/>
      <c r="AF12" s="9"/>
      <c r="AG12" s="10"/>
      <c r="AH12" s="164"/>
      <c r="AI12" s="9"/>
      <c r="AJ12" s="9"/>
      <c r="AK12" s="11"/>
      <c r="AL12" s="9"/>
      <c r="AM12" s="11"/>
      <c r="AN12" s="11"/>
      <c r="AO12" s="11"/>
      <c r="AP12" s="11"/>
      <c r="AQ12" s="11"/>
      <c r="AR12" s="11"/>
      <c r="AS12" s="16"/>
      <c r="AT12" s="136"/>
      <c r="AU12" s="11"/>
      <c r="AV12" s="11"/>
      <c r="AW12" s="11"/>
      <c r="AX12" s="11"/>
      <c r="AY12" s="11"/>
      <c r="AZ12" s="11"/>
      <c r="BA12" s="11"/>
      <c r="BB12" s="11"/>
    </row>
    <row r="13" spans="1:54" s="115" customFormat="1" ht="30" x14ac:dyDescent="0.25">
      <c r="A13" s="4"/>
      <c r="B13" s="5"/>
      <c r="C13" s="5"/>
      <c r="D13" s="5"/>
      <c r="E13" s="5">
        <v>2</v>
      </c>
      <c r="F13" s="5">
        <v>0</v>
      </c>
      <c r="G13" s="5"/>
      <c r="H13" s="54" t="s">
        <v>192</v>
      </c>
      <c r="I13" s="2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9">
        <v>53938592.796666667</v>
      </c>
      <c r="AC13" s="9">
        <v>40234947</v>
      </c>
      <c r="AD13" s="9">
        <v>40234947</v>
      </c>
      <c r="AE13" s="9">
        <v>34863779</v>
      </c>
      <c r="AF13" s="9">
        <f>28277774.61+AG13</f>
        <v>31115902.530000001</v>
      </c>
      <c r="AG13" s="10">
        <f>+AR13</f>
        <v>2838127.92</v>
      </c>
      <c r="AH13" s="200">
        <v>585747</v>
      </c>
      <c r="AI13" s="11">
        <v>4905768.4800000004</v>
      </c>
      <c r="AJ13" s="11">
        <v>2651031.42</v>
      </c>
      <c r="AK13" s="11">
        <v>2611645.4500000002</v>
      </c>
      <c r="AL13" s="11">
        <v>2632243.58</v>
      </c>
      <c r="AM13" s="11">
        <v>1111959.92</v>
      </c>
      <c r="AN13" s="11">
        <v>1649823.89</v>
      </c>
      <c r="AO13" s="11">
        <v>157808.63</v>
      </c>
      <c r="AP13" s="11">
        <v>798351.57</v>
      </c>
      <c r="AQ13" s="11">
        <v>2585752.25</v>
      </c>
      <c r="AR13" s="11">
        <v>2838127.92</v>
      </c>
      <c r="AS13" s="16">
        <v>0</v>
      </c>
      <c r="AT13" s="136"/>
      <c r="AU13" s="9">
        <v>399451.65</v>
      </c>
      <c r="AV13" s="9">
        <v>55556760.894299984</v>
      </c>
      <c r="AW13" s="9">
        <v>409957.22839500004</v>
      </c>
      <c r="AX13" s="9">
        <v>57223463.721128985</v>
      </c>
      <c r="AY13" s="9">
        <v>420452.13344191195</v>
      </c>
      <c r="AZ13" s="9">
        <v>58940167.632762834</v>
      </c>
      <c r="BA13" s="9">
        <v>430963.43677795969</v>
      </c>
      <c r="BB13" s="9">
        <v>60708372.661745742</v>
      </c>
    </row>
    <row r="14" spans="1:54" s="115" customFormat="1" ht="30" x14ac:dyDescent="0.25">
      <c r="A14" s="4">
        <v>4</v>
      </c>
      <c r="B14" s="5"/>
      <c r="C14" s="5"/>
      <c r="D14" s="5"/>
      <c r="E14" s="5"/>
      <c r="F14" s="5"/>
      <c r="G14" s="5">
        <v>1</v>
      </c>
      <c r="H14" s="54" t="s">
        <v>193</v>
      </c>
      <c r="I14" s="254" t="s">
        <v>101</v>
      </c>
      <c r="J14" s="9">
        <f>J15+J16+J17+J19</f>
        <v>388950</v>
      </c>
      <c r="K14" s="9">
        <f>K15+K16+K17+K19</f>
        <v>303702</v>
      </c>
      <c r="L14" s="9">
        <f>L15+L16+L17+L19</f>
        <v>303702</v>
      </c>
      <c r="M14" s="9">
        <f>M15+M16+M17+M19</f>
        <v>290100</v>
      </c>
      <c r="N14" s="9">
        <f>SUM(P14:AA14)</f>
        <v>259198</v>
      </c>
      <c r="O14" s="9">
        <f t="shared" ref="O14:O21" si="1">+Z14</f>
        <v>29000</v>
      </c>
      <c r="P14" s="9">
        <f>P15+P16+P17+P19</f>
        <v>0</v>
      </c>
      <c r="Q14" s="9">
        <f>Q15+Q16+Q17+Q19</f>
        <v>19298</v>
      </c>
      <c r="R14" s="9">
        <f>R15+R16+R17+R19</f>
        <v>19334</v>
      </c>
      <c r="S14" s="9">
        <f>S15+S16+S17+S19</f>
        <v>19403</v>
      </c>
      <c r="T14" s="9">
        <f>T15+T16+T17+T19</f>
        <v>29000</v>
      </c>
      <c r="U14" s="9">
        <v>27327</v>
      </c>
      <c r="V14" s="9">
        <f t="shared" ref="V14:AA14" si="2">V15+V16+V17+V19</f>
        <v>29000</v>
      </c>
      <c r="W14" s="9">
        <f t="shared" si="2"/>
        <v>29000</v>
      </c>
      <c r="X14" s="9">
        <v>29000</v>
      </c>
      <c r="Y14" s="9">
        <v>28836</v>
      </c>
      <c r="Z14" s="9">
        <v>29000</v>
      </c>
      <c r="AA14" s="9">
        <f t="shared" si="2"/>
        <v>0</v>
      </c>
      <c r="AB14" s="11"/>
      <c r="AC14" s="11"/>
      <c r="AD14" s="11"/>
      <c r="AE14" s="11"/>
      <c r="AF14" s="11"/>
      <c r="AG14" s="16"/>
      <c r="AH14" s="200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10"/>
      <c r="AT14" s="136"/>
      <c r="AU14" s="9"/>
      <c r="AV14" s="116"/>
      <c r="AW14" s="9"/>
      <c r="AX14" s="116"/>
      <c r="AY14" s="9"/>
      <c r="AZ14" s="116"/>
      <c r="BA14" s="9"/>
      <c r="BB14" s="116"/>
    </row>
    <row r="15" spans="1:54" s="115" customFormat="1" ht="27" x14ac:dyDescent="0.25">
      <c r="A15" s="61"/>
      <c r="B15" s="6"/>
      <c r="C15" s="6"/>
      <c r="D15" s="6"/>
      <c r="E15" s="6"/>
      <c r="F15" s="6"/>
      <c r="G15" s="6">
        <v>2</v>
      </c>
      <c r="H15" s="114" t="s">
        <v>197</v>
      </c>
      <c r="I15" s="211" t="s">
        <v>101</v>
      </c>
      <c r="J15" s="11">
        <v>18950</v>
      </c>
      <c r="K15" s="11">
        <v>22000</v>
      </c>
      <c r="L15" s="11">
        <v>22000</v>
      </c>
      <c r="M15" s="11">
        <v>8400</v>
      </c>
      <c r="N15" s="11">
        <f>6556+O15</f>
        <v>7396</v>
      </c>
      <c r="O15" s="9">
        <f t="shared" si="1"/>
        <v>840</v>
      </c>
      <c r="P15" s="11">
        <v>0</v>
      </c>
      <c r="Q15" s="11">
        <v>525</v>
      </c>
      <c r="R15" s="11">
        <v>525</v>
      </c>
      <c r="S15" s="11">
        <v>630</v>
      </c>
      <c r="T15" s="11">
        <v>840</v>
      </c>
      <c r="U15" s="11">
        <v>840</v>
      </c>
      <c r="V15" s="11">
        <v>840</v>
      </c>
      <c r="W15" s="11">
        <v>840</v>
      </c>
      <c r="X15" s="11">
        <v>0</v>
      </c>
      <c r="Y15" s="11">
        <v>676</v>
      </c>
      <c r="Z15" s="11">
        <v>840</v>
      </c>
      <c r="AA15" s="11"/>
      <c r="AB15" s="11"/>
      <c r="AC15" s="11"/>
      <c r="AD15" s="11"/>
      <c r="AE15" s="11"/>
      <c r="AF15" s="11"/>
      <c r="AG15" s="16"/>
      <c r="AH15" s="200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6"/>
      <c r="AT15" s="136"/>
      <c r="AU15" s="11"/>
      <c r="AV15" s="118"/>
      <c r="AW15" s="11"/>
      <c r="AX15" s="118"/>
      <c r="AY15" s="11"/>
      <c r="AZ15" s="118"/>
      <c r="BA15" s="11"/>
      <c r="BB15" s="118"/>
    </row>
    <row r="16" spans="1:54" s="115" customFormat="1" ht="27" x14ac:dyDescent="0.25">
      <c r="A16" s="61"/>
      <c r="B16" s="6"/>
      <c r="C16" s="6"/>
      <c r="D16" s="6"/>
      <c r="E16" s="6"/>
      <c r="F16" s="6"/>
      <c r="G16" s="6">
        <v>3</v>
      </c>
      <c r="H16" s="114" t="s">
        <v>198</v>
      </c>
      <c r="I16" s="211" t="s">
        <v>101</v>
      </c>
      <c r="J16" s="11">
        <v>530</v>
      </c>
      <c r="K16" s="11">
        <v>102</v>
      </c>
      <c r="L16" s="11">
        <v>102</v>
      </c>
      <c r="M16" s="11">
        <v>100</v>
      </c>
      <c r="N16" s="11">
        <f t="shared" ref="N16:N21" si="3">+SUM(P16:AA16)</f>
        <v>35</v>
      </c>
      <c r="O16" s="9">
        <f t="shared" si="1"/>
        <v>0</v>
      </c>
      <c r="P16" s="11">
        <v>0</v>
      </c>
      <c r="Q16" s="11">
        <v>0</v>
      </c>
      <c r="R16" s="11">
        <v>35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/>
      <c r="AB16" s="11"/>
      <c r="AC16" s="11"/>
      <c r="AD16" s="11"/>
      <c r="AE16" s="11"/>
      <c r="AF16" s="11"/>
      <c r="AG16" s="16"/>
      <c r="AH16" s="200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6"/>
      <c r="AT16" s="136"/>
      <c r="AU16" s="11"/>
      <c r="AV16" s="118"/>
      <c r="AW16" s="11"/>
      <c r="AX16" s="118"/>
      <c r="AY16" s="11"/>
      <c r="AZ16" s="118"/>
      <c r="BA16" s="11"/>
      <c r="BB16" s="118"/>
    </row>
    <row r="17" spans="1:54" s="115" customFormat="1" ht="27" x14ac:dyDescent="0.25">
      <c r="A17" s="4"/>
      <c r="B17" s="5"/>
      <c r="C17" s="5"/>
      <c r="D17" s="5"/>
      <c r="E17" s="5"/>
      <c r="F17" s="5"/>
      <c r="G17" s="6">
        <v>4</v>
      </c>
      <c r="H17" s="114" t="s">
        <v>199</v>
      </c>
      <c r="I17" s="211" t="s">
        <v>101</v>
      </c>
      <c r="J17" s="11">
        <v>36041</v>
      </c>
      <c r="K17" s="11">
        <v>61600</v>
      </c>
      <c r="L17" s="11">
        <v>61600</v>
      </c>
      <c r="M17" s="11">
        <v>61600</v>
      </c>
      <c r="N17" s="11">
        <v>53767</v>
      </c>
      <c r="O17" s="9">
        <f t="shared" si="1"/>
        <v>160</v>
      </c>
      <c r="P17" s="11">
        <v>0</v>
      </c>
      <c r="Q17" s="11">
        <v>4107</v>
      </c>
      <c r="R17" s="11">
        <v>4107</v>
      </c>
      <c r="S17" s="11">
        <v>4106</v>
      </c>
      <c r="T17" s="11">
        <v>6160</v>
      </c>
      <c r="U17" s="11">
        <v>4487</v>
      </c>
      <c r="V17" s="11">
        <v>6160</v>
      </c>
      <c r="W17" s="11">
        <v>6160</v>
      </c>
      <c r="X17" s="11">
        <v>6160</v>
      </c>
      <c r="Y17" s="11">
        <v>6160</v>
      </c>
      <c r="Z17" s="11">
        <v>160</v>
      </c>
      <c r="AA17" s="11">
        <v>0</v>
      </c>
      <c r="AB17" s="11"/>
      <c r="AC17" s="11"/>
      <c r="AD17" s="11"/>
      <c r="AE17" s="11"/>
      <c r="AF17" s="11"/>
      <c r="AG17" s="16"/>
      <c r="AH17" s="200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6"/>
      <c r="AT17" s="136"/>
      <c r="AU17" s="11"/>
      <c r="AV17" s="11"/>
      <c r="AW17" s="11"/>
      <c r="AX17" s="11"/>
      <c r="AY17" s="11"/>
      <c r="AZ17" s="11"/>
      <c r="BA17" s="11"/>
      <c r="BB17" s="11"/>
    </row>
    <row r="18" spans="1:54" s="115" customFormat="1" ht="27" x14ac:dyDescent="0.25">
      <c r="A18" s="4"/>
      <c r="B18" s="5"/>
      <c r="C18" s="5"/>
      <c r="D18" s="5"/>
      <c r="E18" s="5"/>
      <c r="F18" s="5"/>
      <c r="G18" s="6">
        <v>5</v>
      </c>
      <c r="H18" s="114" t="s">
        <v>194</v>
      </c>
      <c r="I18" s="211" t="s">
        <v>34</v>
      </c>
      <c r="J18" s="11">
        <v>13138</v>
      </c>
      <c r="K18" s="11">
        <v>7343</v>
      </c>
      <c r="L18" s="11">
        <v>7343</v>
      </c>
      <c r="M18" s="11">
        <v>7344</v>
      </c>
      <c r="N18" s="11">
        <f t="shared" si="3"/>
        <v>6610</v>
      </c>
      <c r="O18" s="9">
        <f t="shared" si="1"/>
        <v>735</v>
      </c>
      <c r="P18" s="11">
        <v>0</v>
      </c>
      <c r="Q18" s="11">
        <v>489</v>
      </c>
      <c r="R18" s="11">
        <v>490</v>
      </c>
      <c r="S18" s="11">
        <v>490</v>
      </c>
      <c r="T18" s="11">
        <v>734</v>
      </c>
      <c r="U18" s="11">
        <v>734</v>
      </c>
      <c r="V18" s="11">
        <v>735</v>
      </c>
      <c r="W18" s="11">
        <v>735</v>
      </c>
      <c r="X18" s="11">
        <v>734</v>
      </c>
      <c r="Y18" s="11">
        <v>734</v>
      </c>
      <c r="Z18" s="11">
        <v>735</v>
      </c>
      <c r="AA18" s="11">
        <v>0</v>
      </c>
      <c r="AB18" s="11"/>
      <c r="AC18" s="11"/>
      <c r="AD18" s="11"/>
      <c r="AE18" s="11"/>
      <c r="AF18" s="11"/>
      <c r="AG18" s="16"/>
      <c r="AH18" s="200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6"/>
      <c r="AT18" s="136"/>
      <c r="AU18" s="11"/>
      <c r="AV18" s="11"/>
      <c r="AW18" s="11"/>
      <c r="AX18" s="11"/>
      <c r="AY18" s="11"/>
      <c r="AZ18" s="11"/>
      <c r="BA18" s="11"/>
      <c r="BB18" s="11"/>
    </row>
    <row r="19" spans="1:54" s="115" customFormat="1" ht="27" x14ac:dyDescent="0.25">
      <c r="A19" s="4"/>
      <c r="B19" s="5"/>
      <c r="C19" s="5"/>
      <c r="D19" s="5"/>
      <c r="E19" s="5"/>
      <c r="F19" s="5"/>
      <c r="G19" s="6">
        <v>6</v>
      </c>
      <c r="H19" s="114" t="s">
        <v>195</v>
      </c>
      <c r="I19" s="211" t="s">
        <v>101</v>
      </c>
      <c r="J19" s="11">
        <v>333429</v>
      </c>
      <c r="K19" s="11">
        <v>220000</v>
      </c>
      <c r="L19" s="11">
        <v>220000</v>
      </c>
      <c r="M19" s="11">
        <v>220000</v>
      </c>
      <c r="N19" s="11">
        <f t="shared" si="3"/>
        <v>198000</v>
      </c>
      <c r="O19" s="9">
        <f t="shared" si="1"/>
        <v>22000</v>
      </c>
      <c r="P19" s="11">
        <v>0</v>
      </c>
      <c r="Q19" s="11">
        <v>14666</v>
      </c>
      <c r="R19" s="11">
        <v>14667</v>
      </c>
      <c r="S19" s="11">
        <v>14667</v>
      </c>
      <c r="T19" s="11">
        <v>22000</v>
      </c>
      <c r="U19" s="11">
        <v>22000</v>
      </c>
      <c r="V19" s="11">
        <v>22000</v>
      </c>
      <c r="W19" s="11">
        <v>22000</v>
      </c>
      <c r="X19" s="11">
        <v>22000</v>
      </c>
      <c r="Y19" s="11">
        <v>22000</v>
      </c>
      <c r="Z19" s="11">
        <v>22000</v>
      </c>
      <c r="AA19" s="11">
        <v>0</v>
      </c>
      <c r="AB19" s="11"/>
      <c r="AC19" s="11"/>
      <c r="AD19" s="11"/>
      <c r="AE19" s="11"/>
      <c r="AF19" s="11"/>
      <c r="AG19" s="16"/>
      <c r="AH19" s="200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6"/>
      <c r="AT19" s="136"/>
      <c r="AU19" s="11"/>
      <c r="AV19" s="11"/>
      <c r="AW19" s="11"/>
      <c r="AX19" s="11"/>
      <c r="AY19" s="11"/>
      <c r="AZ19" s="11"/>
      <c r="BA19" s="11"/>
      <c r="BB19" s="11"/>
    </row>
    <row r="20" spans="1:54" s="115" customFormat="1" ht="27" x14ac:dyDescent="0.25">
      <c r="A20" s="4"/>
      <c r="B20" s="5"/>
      <c r="C20" s="5"/>
      <c r="D20" s="5"/>
      <c r="E20" s="5"/>
      <c r="F20" s="5"/>
      <c r="G20" s="6">
        <v>7</v>
      </c>
      <c r="H20" s="114" t="s">
        <v>196</v>
      </c>
      <c r="I20" s="211" t="s">
        <v>64</v>
      </c>
      <c r="J20" s="11">
        <v>3783</v>
      </c>
      <c r="K20" s="11">
        <v>3080</v>
      </c>
      <c r="L20" s="11">
        <v>3080</v>
      </c>
      <c r="M20" s="11">
        <v>3080</v>
      </c>
      <c r="N20" s="11">
        <f t="shared" si="3"/>
        <v>2300</v>
      </c>
      <c r="O20" s="9">
        <f t="shared" si="1"/>
        <v>308</v>
      </c>
      <c r="P20" s="11">
        <v>0</v>
      </c>
      <c r="Q20" s="11">
        <v>205</v>
      </c>
      <c r="R20" s="11">
        <v>205</v>
      </c>
      <c r="S20" s="11">
        <v>206</v>
      </c>
      <c r="T20" s="11">
        <v>308</v>
      </c>
      <c r="U20" s="11">
        <v>24</v>
      </c>
      <c r="V20" s="11">
        <v>120</v>
      </c>
      <c r="W20" s="11">
        <v>308</v>
      </c>
      <c r="X20" s="11">
        <v>308</v>
      </c>
      <c r="Y20" s="11">
        <v>308</v>
      </c>
      <c r="Z20" s="11">
        <v>308</v>
      </c>
      <c r="AA20" s="11">
        <v>0</v>
      </c>
      <c r="AB20" s="11"/>
      <c r="AC20" s="11"/>
      <c r="AD20" s="11"/>
      <c r="AE20" s="11"/>
      <c r="AF20" s="11"/>
      <c r="AG20" s="16"/>
      <c r="AH20" s="200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6"/>
      <c r="AT20" s="136"/>
      <c r="AU20" s="11"/>
      <c r="AV20" s="11"/>
      <c r="AW20" s="11"/>
      <c r="AX20" s="11"/>
      <c r="AY20" s="11"/>
      <c r="AZ20" s="11"/>
      <c r="BA20" s="11"/>
      <c r="BB20" s="11"/>
    </row>
    <row r="21" spans="1:54" s="115" customFormat="1" ht="27.75" thickBot="1" x14ac:dyDescent="0.3">
      <c r="A21" s="105"/>
      <c r="B21" s="113"/>
      <c r="C21" s="113"/>
      <c r="D21" s="113"/>
      <c r="E21" s="113"/>
      <c r="F21" s="113"/>
      <c r="G21" s="63">
        <v>8</v>
      </c>
      <c r="H21" s="64" t="s">
        <v>200</v>
      </c>
      <c r="I21" s="258" t="s">
        <v>34</v>
      </c>
      <c r="J21" s="15">
        <v>75</v>
      </c>
      <c r="K21" s="15">
        <v>35</v>
      </c>
      <c r="L21" s="15">
        <v>35</v>
      </c>
      <c r="M21" s="15">
        <v>35</v>
      </c>
      <c r="N21" s="15">
        <f t="shared" si="3"/>
        <v>32</v>
      </c>
      <c r="O21" s="13">
        <f t="shared" si="1"/>
        <v>4</v>
      </c>
      <c r="P21" s="15">
        <v>0</v>
      </c>
      <c r="Q21" s="15">
        <v>1</v>
      </c>
      <c r="R21" s="15">
        <v>3</v>
      </c>
      <c r="S21" s="15">
        <v>3</v>
      </c>
      <c r="T21" s="15">
        <v>3</v>
      </c>
      <c r="U21" s="15">
        <v>3</v>
      </c>
      <c r="V21" s="15">
        <v>3</v>
      </c>
      <c r="W21" s="15">
        <v>4</v>
      </c>
      <c r="X21" s="15">
        <v>4</v>
      </c>
      <c r="Y21" s="15">
        <v>4</v>
      </c>
      <c r="Z21" s="15">
        <v>4</v>
      </c>
      <c r="AA21" s="15"/>
      <c r="AB21" s="15"/>
      <c r="AC21" s="15"/>
      <c r="AD21" s="15"/>
      <c r="AE21" s="15"/>
      <c r="AF21" s="15"/>
      <c r="AG21" s="17"/>
      <c r="AH21" s="201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7"/>
      <c r="AT21" s="136"/>
      <c r="AU21" s="11"/>
      <c r="AV21" s="11"/>
      <c r="AW21" s="11"/>
      <c r="AX21" s="11"/>
      <c r="AY21" s="11"/>
      <c r="AZ21" s="11"/>
      <c r="BA21" s="11"/>
      <c r="BB21" s="11"/>
    </row>
    <row r="22" spans="1:54" s="94" customFormat="1" ht="13.5" x14ac:dyDescent="0.25"/>
    <row r="23" spans="1:54" s="94" customFormat="1" ht="13.5" x14ac:dyDescent="0.25"/>
    <row r="24" spans="1:54" s="94" customFormat="1" ht="13.5" x14ac:dyDescent="0.25"/>
    <row r="25" spans="1:54" s="94" customFormat="1" ht="13.5" x14ac:dyDescent="0.25">
      <c r="H25" s="94" t="s">
        <v>216</v>
      </c>
    </row>
    <row r="26" spans="1:54" s="94" customFormat="1" ht="13.5" x14ac:dyDescent="0.25">
      <c r="H26" s="94" t="s">
        <v>228</v>
      </c>
    </row>
    <row r="27" spans="1:54" s="94" customFormat="1" ht="13.5" x14ac:dyDescent="0.25"/>
    <row r="28" spans="1:54" s="94" customFormat="1" x14ac:dyDescent="0.3"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  <c r="AN28" s="146"/>
      <c r="AO28" s="146"/>
      <c r="AP28" s="146"/>
      <c r="AQ28" s="146"/>
      <c r="AR28" s="146"/>
      <c r="AS28" s="146"/>
    </row>
    <row r="29" spans="1:54" s="94" customFormat="1" x14ac:dyDescent="0.3"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</row>
  </sheetData>
  <mergeCells count="7">
    <mergeCell ref="AW5:AX5"/>
    <mergeCell ref="AY5:AZ5"/>
    <mergeCell ref="BA5:BB5"/>
    <mergeCell ref="A5:I5"/>
    <mergeCell ref="J5:O5"/>
    <mergeCell ref="AB5:AG5"/>
    <mergeCell ref="AU5:AV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tabColor theme="4" tint="0.59999389629810485"/>
  </sheetPr>
  <dimension ref="A1:BB27"/>
  <sheetViews>
    <sheetView zoomScale="85" zoomScaleNormal="85" workbookViewId="0">
      <selection activeCell="A4" sqref="A4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hidden="1" customWidth="1"/>
    <col min="12" max="13" width="10.7109375" customWidth="1"/>
    <col min="14" max="14" width="13.7109375" style="224" customWidth="1"/>
    <col min="15" max="15" width="13.7109375" customWidth="1"/>
    <col min="16" max="25" width="13.7109375" hidden="1" customWidth="1"/>
    <col min="26" max="26" width="13.7109375" style="224" hidden="1" customWidth="1"/>
    <col min="27" max="27" width="13.7109375" hidden="1" customWidth="1"/>
    <col min="28" max="30" width="13.7109375" customWidth="1"/>
    <col min="31" max="31" width="13.7109375" style="224" customWidth="1"/>
    <col min="32" max="32" width="13.7109375" customWidth="1"/>
    <col min="33" max="33" width="13.7109375" style="224" customWidth="1"/>
    <col min="34" max="43" width="13.7109375" hidden="1" customWidth="1"/>
    <col min="44" max="44" width="13.7109375" style="224" hidden="1" customWidth="1"/>
    <col min="45" max="45" width="13.7109375" hidden="1" customWidth="1"/>
    <col min="47" max="47" width="11.5703125" bestFit="1" customWidth="1"/>
    <col min="48" max="48" width="15" bestFit="1" customWidth="1"/>
    <col min="49" max="49" width="11.5703125" bestFit="1" customWidth="1"/>
    <col min="50" max="50" width="15" bestFit="1" customWidth="1"/>
    <col min="51" max="51" width="11.5703125" bestFit="1" customWidth="1"/>
    <col min="52" max="52" width="15" bestFit="1" customWidth="1"/>
    <col min="53" max="53" width="11.5703125" bestFit="1" customWidth="1"/>
    <col min="54" max="54" width="15" bestFit="1" customWidth="1"/>
  </cols>
  <sheetData>
    <row r="1" spans="1:54" ht="15" customHeight="1" x14ac:dyDescent="0.25">
      <c r="A1" s="32" t="s">
        <v>49</v>
      </c>
    </row>
    <row r="2" spans="1:54" ht="15" customHeight="1" x14ac:dyDescent="0.25">
      <c r="A2" s="32" t="s">
        <v>50</v>
      </c>
    </row>
    <row r="3" spans="1:54" ht="15" customHeight="1" x14ac:dyDescent="0.25">
      <c r="A3" s="32" t="str">
        <f>+'216. PROVIAL'!A3</f>
        <v xml:space="preserve">EJERCICIO FISCAL 2022 - ACTUALIZADA NOVIEMBRE </v>
      </c>
    </row>
    <row r="4" spans="1:54" ht="15" customHeight="1" thickBot="1" x14ac:dyDescent="0.3"/>
    <row r="5" spans="1:54" x14ac:dyDescent="0.25">
      <c r="A5" s="328" t="s">
        <v>201</v>
      </c>
      <c r="B5" s="329"/>
      <c r="C5" s="329"/>
      <c r="D5" s="329"/>
      <c r="E5" s="329"/>
      <c r="F5" s="329"/>
      <c r="G5" s="329"/>
      <c r="H5" s="329"/>
      <c r="I5" s="329"/>
      <c r="J5" s="330" t="s">
        <v>1</v>
      </c>
      <c r="K5" s="330"/>
      <c r="L5" s="330"/>
      <c r="M5" s="330"/>
      <c r="N5" s="330"/>
      <c r="O5" s="330"/>
      <c r="P5" s="39"/>
      <c r="Q5" s="39"/>
      <c r="R5" s="39"/>
      <c r="S5" s="39"/>
      <c r="T5" s="39"/>
      <c r="U5" s="39"/>
      <c r="V5" s="39"/>
      <c r="W5" s="39"/>
      <c r="X5" s="39"/>
      <c r="Y5" s="39"/>
      <c r="Z5" s="234"/>
      <c r="AA5" s="39"/>
      <c r="AB5" s="330" t="s">
        <v>2</v>
      </c>
      <c r="AC5" s="330"/>
      <c r="AD5" s="330"/>
      <c r="AE5" s="330"/>
      <c r="AF5" s="330"/>
      <c r="AG5" s="331"/>
      <c r="AH5" s="162"/>
      <c r="AI5" s="39"/>
      <c r="AJ5" s="39"/>
      <c r="AK5" s="39"/>
      <c r="AL5" s="39"/>
      <c r="AM5" s="39"/>
      <c r="AN5" s="39"/>
      <c r="AO5" s="39"/>
      <c r="AP5" s="39"/>
      <c r="AQ5" s="39"/>
      <c r="AR5" s="234"/>
      <c r="AS5" s="40"/>
      <c r="AT5" s="136"/>
      <c r="AU5" s="327" t="s">
        <v>51</v>
      </c>
      <c r="AV5" s="327"/>
      <c r="AW5" s="327" t="s">
        <v>52</v>
      </c>
      <c r="AX5" s="327"/>
      <c r="AY5" s="327" t="s">
        <v>53</v>
      </c>
      <c r="AZ5" s="327"/>
      <c r="BA5" s="327" t="s">
        <v>55</v>
      </c>
      <c r="BB5" s="327"/>
    </row>
    <row r="6" spans="1:54" s="7" customFormat="1" ht="36.75" thickBot="1" x14ac:dyDescent="0.25">
      <c r="A6" s="255" t="s">
        <v>3</v>
      </c>
      <c r="B6" s="246" t="s">
        <v>4</v>
      </c>
      <c r="C6" s="246" t="s">
        <v>5</v>
      </c>
      <c r="D6" s="246" t="s">
        <v>6</v>
      </c>
      <c r="E6" s="246" t="s">
        <v>7</v>
      </c>
      <c r="F6" s="246" t="s">
        <v>8</v>
      </c>
      <c r="G6" s="246" t="s">
        <v>9</v>
      </c>
      <c r="H6" s="247" t="s">
        <v>10</v>
      </c>
      <c r="I6" s="248" t="s">
        <v>11</v>
      </c>
      <c r="J6" s="249" t="s">
        <v>12</v>
      </c>
      <c r="K6" s="249" t="s">
        <v>65</v>
      </c>
      <c r="L6" s="249" t="s">
        <v>13</v>
      </c>
      <c r="M6" s="249" t="s">
        <v>14</v>
      </c>
      <c r="N6" s="271" t="s">
        <v>15</v>
      </c>
      <c r="O6" s="250" t="s">
        <v>16</v>
      </c>
      <c r="P6" s="250" t="s">
        <v>17</v>
      </c>
      <c r="Q6" s="250" t="s">
        <v>18</v>
      </c>
      <c r="R6" s="250" t="s">
        <v>19</v>
      </c>
      <c r="S6" s="250" t="s">
        <v>20</v>
      </c>
      <c r="T6" s="250" t="s">
        <v>21</v>
      </c>
      <c r="U6" s="250" t="s">
        <v>22</v>
      </c>
      <c r="V6" s="250" t="s">
        <v>23</v>
      </c>
      <c r="W6" s="250" t="s">
        <v>24</v>
      </c>
      <c r="X6" s="250" t="s">
        <v>25</v>
      </c>
      <c r="Y6" s="250" t="s">
        <v>26</v>
      </c>
      <c r="Z6" s="271" t="s">
        <v>27</v>
      </c>
      <c r="AA6" s="250" t="s">
        <v>28</v>
      </c>
      <c r="AB6" s="249" t="s">
        <v>12</v>
      </c>
      <c r="AC6" s="249" t="s">
        <v>65</v>
      </c>
      <c r="AD6" s="249" t="s">
        <v>13</v>
      </c>
      <c r="AE6" s="278" t="s">
        <v>14</v>
      </c>
      <c r="AF6" s="250" t="s">
        <v>15</v>
      </c>
      <c r="AG6" s="274" t="s">
        <v>16</v>
      </c>
      <c r="AH6" s="30" t="s">
        <v>17</v>
      </c>
      <c r="AI6" s="28" t="s">
        <v>18</v>
      </c>
      <c r="AJ6" s="28" t="s">
        <v>19</v>
      </c>
      <c r="AK6" s="28" t="s">
        <v>20</v>
      </c>
      <c r="AL6" s="28" t="s">
        <v>21</v>
      </c>
      <c r="AM6" s="28" t="s">
        <v>22</v>
      </c>
      <c r="AN6" s="28" t="s">
        <v>23</v>
      </c>
      <c r="AO6" s="28" t="s">
        <v>24</v>
      </c>
      <c r="AP6" s="28" t="s">
        <v>25</v>
      </c>
      <c r="AQ6" s="28" t="s">
        <v>26</v>
      </c>
      <c r="AR6" s="350" t="s">
        <v>27</v>
      </c>
      <c r="AS6" s="29" t="s">
        <v>28</v>
      </c>
      <c r="AT6" s="137"/>
      <c r="AU6" s="70" t="s">
        <v>54</v>
      </c>
      <c r="AV6" s="70" t="s">
        <v>2</v>
      </c>
      <c r="AW6" s="70" t="s">
        <v>54</v>
      </c>
      <c r="AX6" s="70" t="s">
        <v>2</v>
      </c>
      <c r="AY6" s="70" t="s">
        <v>54</v>
      </c>
      <c r="AZ6" s="70" t="s">
        <v>2</v>
      </c>
      <c r="BA6" s="70" t="s">
        <v>54</v>
      </c>
      <c r="BB6" s="70" t="s">
        <v>2</v>
      </c>
    </row>
    <row r="7" spans="1:54" ht="30" x14ac:dyDescent="0.25">
      <c r="A7" s="4"/>
      <c r="B7" s="5">
        <v>11</v>
      </c>
      <c r="C7" s="5"/>
      <c r="D7" s="5"/>
      <c r="E7" s="5"/>
      <c r="F7" s="5"/>
      <c r="G7" s="5"/>
      <c r="H7" s="54" t="s">
        <v>58</v>
      </c>
      <c r="I7" s="211"/>
      <c r="J7" s="5"/>
      <c r="K7" s="5"/>
      <c r="L7" s="5"/>
      <c r="M7" s="5"/>
      <c r="N7" s="236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236"/>
      <c r="AA7" s="5"/>
      <c r="AB7" s="9"/>
      <c r="AC7" s="9"/>
      <c r="AD7" s="9"/>
      <c r="AE7" s="235"/>
      <c r="AF7" s="11"/>
      <c r="AG7" s="276"/>
      <c r="AH7" s="199"/>
      <c r="AI7" s="20"/>
      <c r="AJ7" s="20"/>
      <c r="AK7" s="20"/>
      <c r="AL7" s="20"/>
      <c r="AM7" s="20"/>
      <c r="AN7" s="20"/>
      <c r="AO7" s="20"/>
      <c r="AP7" s="20"/>
      <c r="AQ7" s="20"/>
      <c r="AR7" s="351"/>
      <c r="AS7" s="21"/>
      <c r="AT7" s="136"/>
      <c r="AU7" s="11"/>
      <c r="AV7" s="11"/>
      <c r="AW7" s="11"/>
      <c r="AX7" s="11"/>
      <c r="AY7" s="11"/>
      <c r="AZ7" s="11"/>
      <c r="BA7" s="11"/>
      <c r="BB7" s="11"/>
    </row>
    <row r="8" spans="1:54" x14ac:dyDescent="0.25">
      <c r="A8" s="4"/>
      <c r="B8" s="5"/>
      <c r="C8" s="5">
        <v>0</v>
      </c>
      <c r="D8" s="5"/>
      <c r="E8" s="5"/>
      <c r="F8" s="5"/>
      <c r="G8" s="5"/>
      <c r="H8" s="54" t="s">
        <v>30</v>
      </c>
      <c r="I8" s="211"/>
      <c r="J8" s="5"/>
      <c r="K8" s="5"/>
      <c r="L8" s="5"/>
      <c r="M8" s="5"/>
      <c r="N8" s="236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236"/>
      <c r="AA8" s="5"/>
      <c r="AB8" s="9"/>
      <c r="AC8" s="9"/>
      <c r="AD8" s="9"/>
      <c r="AE8" s="235"/>
      <c r="AF8" s="11"/>
      <c r="AG8" s="276"/>
      <c r="AH8" s="200"/>
      <c r="AI8" s="9"/>
      <c r="AJ8" s="9"/>
      <c r="AK8" s="9"/>
      <c r="AL8" s="9"/>
      <c r="AM8" s="9"/>
      <c r="AN8" s="9"/>
      <c r="AO8" s="9"/>
      <c r="AP8" s="9"/>
      <c r="AQ8" s="9"/>
      <c r="AR8" s="236"/>
      <c r="AS8" s="10"/>
      <c r="AT8" s="136"/>
      <c r="AU8" s="11"/>
      <c r="AV8" s="11"/>
      <c r="AW8" s="11"/>
      <c r="AX8" s="11"/>
      <c r="AY8" s="11"/>
      <c r="AZ8" s="11"/>
      <c r="BA8" s="11"/>
      <c r="BB8" s="11"/>
    </row>
    <row r="9" spans="1:54" x14ac:dyDescent="0.25">
      <c r="A9" s="4"/>
      <c r="B9" s="5"/>
      <c r="C9" s="5"/>
      <c r="D9" s="5">
        <v>0</v>
      </c>
      <c r="E9" s="5"/>
      <c r="F9" s="5"/>
      <c r="G9" s="5"/>
      <c r="H9" s="54" t="s">
        <v>31</v>
      </c>
      <c r="I9" s="211"/>
      <c r="J9" s="5"/>
      <c r="K9" s="5"/>
      <c r="L9" s="5"/>
      <c r="M9" s="5"/>
      <c r="N9" s="236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236"/>
      <c r="AA9" s="5"/>
      <c r="AB9" s="9"/>
      <c r="AC9" s="9"/>
      <c r="AD9" s="9"/>
      <c r="AE9" s="235"/>
      <c r="AF9" s="11"/>
      <c r="AG9" s="276"/>
      <c r="AH9" s="200"/>
      <c r="AI9" s="9"/>
      <c r="AJ9" s="9"/>
      <c r="AK9" s="9"/>
      <c r="AL9" s="9"/>
      <c r="AM9" s="9"/>
      <c r="AN9" s="9"/>
      <c r="AO9" s="9"/>
      <c r="AP9" s="9"/>
      <c r="AQ9" s="9"/>
      <c r="AR9" s="236"/>
      <c r="AS9" s="10"/>
      <c r="AT9" s="136"/>
      <c r="AU9" s="11"/>
      <c r="AV9" s="11"/>
      <c r="AW9" s="11"/>
      <c r="AX9" s="11"/>
      <c r="AY9" s="11"/>
      <c r="AZ9" s="11"/>
      <c r="BA9" s="11"/>
      <c r="BB9" s="11"/>
    </row>
    <row r="10" spans="1:54" x14ac:dyDescent="0.25">
      <c r="A10" s="4"/>
      <c r="B10" s="5"/>
      <c r="C10" s="5"/>
      <c r="D10" s="5"/>
      <c r="E10" s="5">
        <v>2</v>
      </c>
      <c r="F10" s="5">
        <v>0</v>
      </c>
      <c r="G10" s="5"/>
      <c r="H10" s="54" t="s">
        <v>61</v>
      </c>
      <c r="I10" s="211"/>
      <c r="J10" s="6"/>
      <c r="K10" s="6"/>
      <c r="L10" s="6"/>
      <c r="M10" s="6"/>
      <c r="N10" s="235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235"/>
      <c r="AA10" s="6"/>
      <c r="AB10" s="9">
        <v>220690450</v>
      </c>
      <c r="AC10" s="9">
        <v>225764628</v>
      </c>
      <c r="AD10" s="9">
        <v>225838628</v>
      </c>
      <c r="AE10" s="236">
        <v>21850650</v>
      </c>
      <c r="AF10" s="9">
        <f>8775880.39+AG10</f>
        <v>10849433.390000001</v>
      </c>
      <c r="AG10" s="275">
        <f>+AR10</f>
        <v>2073553</v>
      </c>
      <c r="AH10" s="200">
        <v>474758.14</v>
      </c>
      <c r="AI10" s="11">
        <v>507500</v>
      </c>
      <c r="AJ10" s="11">
        <v>517600</v>
      </c>
      <c r="AK10" s="11">
        <v>3273897.1</v>
      </c>
      <c r="AL10" s="11">
        <v>489780</v>
      </c>
      <c r="AM10" s="11">
        <v>109468.22</v>
      </c>
      <c r="AN10" s="11">
        <v>2911591.26</v>
      </c>
      <c r="AO10" s="11">
        <v>695900.02</v>
      </c>
      <c r="AP10" s="11">
        <v>74260</v>
      </c>
      <c r="AQ10" s="11">
        <v>448741.94</v>
      </c>
      <c r="AR10" s="235">
        <v>2073553</v>
      </c>
      <c r="AS10" s="16">
        <v>0</v>
      </c>
      <c r="AT10" s="136"/>
      <c r="AU10" s="9">
        <v>231</v>
      </c>
      <c r="AV10" s="116">
        <v>214886956</v>
      </c>
      <c r="AW10" s="9">
        <v>232</v>
      </c>
      <c r="AX10" s="116">
        <v>215631320</v>
      </c>
      <c r="AY10" s="9">
        <v>234</v>
      </c>
      <c r="AZ10" s="116">
        <v>216412915</v>
      </c>
      <c r="BA10" s="9">
        <v>236</v>
      </c>
      <c r="BB10" s="116">
        <v>217233591</v>
      </c>
    </row>
    <row r="11" spans="1:54" x14ac:dyDescent="0.25">
      <c r="A11" s="4">
        <v>4</v>
      </c>
      <c r="B11" s="5"/>
      <c r="C11" s="5"/>
      <c r="D11" s="5"/>
      <c r="E11" s="5"/>
      <c r="F11" s="5"/>
      <c r="G11" s="5">
        <v>1</v>
      </c>
      <c r="H11" s="54" t="s">
        <v>62</v>
      </c>
      <c r="I11" s="254" t="s">
        <v>63</v>
      </c>
      <c r="J11" s="80">
        <f>J13</f>
        <v>230</v>
      </c>
      <c r="K11" s="80">
        <f>K13</f>
        <v>232</v>
      </c>
      <c r="L11" s="80">
        <v>232</v>
      </c>
      <c r="M11" s="80">
        <v>5</v>
      </c>
      <c r="N11" s="236">
        <f>SUM(P11:AA11)</f>
        <v>0</v>
      </c>
      <c r="O11" s="236">
        <f>+Z11</f>
        <v>0</v>
      </c>
      <c r="P11" s="80">
        <f>+P13</f>
        <v>0</v>
      </c>
      <c r="Q11" s="80">
        <f>Q12</f>
        <v>0</v>
      </c>
      <c r="R11" s="80">
        <f t="shared" ref="R11:AA11" si="0">R12</f>
        <v>0</v>
      </c>
      <c r="S11" s="80">
        <f t="shared" si="0"/>
        <v>0</v>
      </c>
      <c r="T11" s="80">
        <f t="shared" si="0"/>
        <v>0</v>
      </c>
      <c r="U11" s="80">
        <f t="shared" si="0"/>
        <v>0</v>
      </c>
      <c r="V11" s="80">
        <f t="shared" si="0"/>
        <v>0</v>
      </c>
      <c r="W11" s="80">
        <v>0</v>
      </c>
      <c r="X11" s="80">
        <v>0</v>
      </c>
      <c r="Y11" s="80">
        <f t="shared" si="0"/>
        <v>0</v>
      </c>
      <c r="Z11" s="236">
        <f t="shared" si="0"/>
        <v>0</v>
      </c>
      <c r="AA11" s="80">
        <f t="shared" si="0"/>
        <v>0</v>
      </c>
      <c r="AB11" s="9"/>
      <c r="AC11" s="9"/>
      <c r="AD11" s="9"/>
      <c r="AE11" s="236"/>
      <c r="AF11" s="9"/>
      <c r="AG11" s="275"/>
      <c r="AH11" s="164"/>
      <c r="AI11" s="9"/>
      <c r="AJ11" s="9"/>
      <c r="AK11" s="9"/>
      <c r="AL11" s="9"/>
      <c r="AM11" s="9"/>
      <c r="AN11" s="9"/>
      <c r="AO11" s="9"/>
      <c r="AP11" s="9"/>
      <c r="AQ11" s="9"/>
      <c r="AR11" s="236"/>
      <c r="AS11" s="10"/>
      <c r="AT11" s="136"/>
      <c r="AU11" s="11"/>
      <c r="AV11" s="11"/>
      <c r="AW11" s="11"/>
      <c r="AX11" s="11"/>
      <c r="AY11" s="11"/>
      <c r="AZ11" s="11"/>
      <c r="BA11" s="11"/>
      <c r="BB11" s="11"/>
    </row>
    <row r="12" spans="1:54" x14ac:dyDescent="0.25">
      <c r="A12" s="4"/>
      <c r="B12" s="5"/>
      <c r="C12" s="5"/>
      <c r="D12" s="5"/>
      <c r="E12" s="5"/>
      <c r="F12" s="5"/>
      <c r="G12" s="6">
        <v>2</v>
      </c>
      <c r="H12" s="114" t="s">
        <v>62</v>
      </c>
      <c r="I12" s="211" t="s">
        <v>63</v>
      </c>
      <c r="J12" s="88">
        <v>109</v>
      </c>
      <c r="K12" s="88">
        <v>104</v>
      </c>
      <c r="L12" s="88">
        <v>232</v>
      </c>
      <c r="M12" s="88">
        <v>5</v>
      </c>
      <c r="N12" s="235">
        <f>SUM(P12:AA12)</f>
        <v>0</v>
      </c>
      <c r="O12" s="236">
        <f>+Z12</f>
        <v>0</v>
      </c>
      <c r="P12" s="88">
        <v>0</v>
      </c>
      <c r="Q12" s="88">
        <v>0</v>
      </c>
      <c r="R12" s="88">
        <v>0</v>
      </c>
      <c r="S12" s="88">
        <v>0</v>
      </c>
      <c r="T12" s="88">
        <v>0</v>
      </c>
      <c r="U12" s="88">
        <v>0</v>
      </c>
      <c r="V12" s="88">
        <v>0</v>
      </c>
      <c r="W12" s="88">
        <v>0</v>
      </c>
      <c r="X12" s="88">
        <v>0</v>
      </c>
      <c r="Y12" s="88">
        <v>0</v>
      </c>
      <c r="Z12" s="235">
        <v>0</v>
      </c>
      <c r="AA12" s="88">
        <v>0</v>
      </c>
      <c r="AB12" s="9"/>
      <c r="AC12" s="9"/>
      <c r="AD12" s="9"/>
      <c r="AE12" s="236"/>
      <c r="AF12" s="9"/>
      <c r="AG12" s="275"/>
      <c r="AH12" s="164"/>
      <c r="AI12" s="9"/>
      <c r="AJ12" s="9"/>
      <c r="AK12" s="11"/>
      <c r="AL12" s="11"/>
      <c r="AM12" s="11"/>
      <c r="AN12" s="11"/>
      <c r="AO12" s="11"/>
      <c r="AP12" s="11"/>
      <c r="AQ12" s="11"/>
      <c r="AR12" s="235"/>
      <c r="AS12" s="16"/>
      <c r="AT12" s="136"/>
      <c r="AU12" s="11"/>
      <c r="AV12" s="11"/>
      <c r="AW12" s="11"/>
      <c r="AX12" s="11"/>
      <c r="AY12" s="11"/>
      <c r="AZ12" s="11"/>
      <c r="BA12" s="11"/>
      <c r="BB12" s="11"/>
    </row>
    <row r="13" spans="1:54" x14ac:dyDescent="0.25">
      <c r="A13" s="4"/>
      <c r="B13" s="5"/>
      <c r="C13" s="5"/>
      <c r="D13" s="5"/>
      <c r="E13" s="5"/>
      <c r="F13" s="5"/>
      <c r="G13" s="6">
        <v>3</v>
      </c>
      <c r="H13" s="114" t="s">
        <v>202</v>
      </c>
      <c r="I13" s="211" t="s">
        <v>34</v>
      </c>
      <c r="J13" s="88">
        <v>230</v>
      </c>
      <c r="K13" s="88">
        <v>232</v>
      </c>
      <c r="L13" s="88">
        <v>104</v>
      </c>
      <c r="M13" s="88">
        <v>119</v>
      </c>
      <c r="N13" s="235">
        <f>69+O13</f>
        <v>78</v>
      </c>
      <c r="O13" s="236">
        <f>+Z13</f>
        <v>9</v>
      </c>
      <c r="P13" s="88">
        <v>0</v>
      </c>
      <c r="Q13" s="88">
        <v>13</v>
      </c>
      <c r="R13" s="88">
        <v>9</v>
      </c>
      <c r="S13" s="88">
        <v>9</v>
      </c>
      <c r="T13" s="88">
        <v>3</v>
      </c>
      <c r="U13" s="88">
        <v>5</v>
      </c>
      <c r="V13" s="88">
        <v>7</v>
      </c>
      <c r="W13" s="88">
        <v>3</v>
      </c>
      <c r="X13" s="88">
        <v>3</v>
      </c>
      <c r="Y13" s="88">
        <v>10</v>
      </c>
      <c r="Z13" s="235">
        <v>9</v>
      </c>
      <c r="AA13" s="88">
        <v>0</v>
      </c>
      <c r="AB13" s="9"/>
      <c r="AC13" s="9"/>
      <c r="AD13" s="9"/>
      <c r="AE13" s="236"/>
      <c r="AF13" s="9"/>
      <c r="AG13" s="275"/>
      <c r="AH13" s="164"/>
      <c r="AI13" s="9"/>
      <c r="AJ13" s="9"/>
      <c r="AK13" s="11"/>
      <c r="AL13" s="11"/>
      <c r="AM13" s="11"/>
      <c r="AN13" s="11"/>
      <c r="AO13" s="11"/>
      <c r="AP13" s="11"/>
      <c r="AQ13" s="11"/>
      <c r="AR13" s="235"/>
      <c r="AS13" s="16"/>
      <c r="AT13" s="136"/>
      <c r="AU13" s="11"/>
      <c r="AV13" s="11"/>
      <c r="AW13" s="11"/>
      <c r="AX13" s="11"/>
      <c r="AY13" s="11"/>
      <c r="AZ13" s="11"/>
      <c r="BA13" s="11"/>
      <c r="BB13" s="11"/>
    </row>
    <row r="14" spans="1:54" ht="45" x14ac:dyDescent="0.25">
      <c r="A14" s="4"/>
      <c r="B14" s="5">
        <v>20</v>
      </c>
      <c r="C14" s="5"/>
      <c r="D14" s="5"/>
      <c r="E14" s="5"/>
      <c r="F14" s="5"/>
      <c r="G14" s="5"/>
      <c r="H14" s="54" t="s">
        <v>204</v>
      </c>
      <c r="I14" s="211"/>
      <c r="J14" s="6"/>
      <c r="K14" s="6"/>
      <c r="L14" s="6"/>
      <c r="M14" s="6"/>
      <c r="N14" s="235"/>
      <c r="O14" s="235"/>
      <c r="P14" s="6"/>
      <c r="Q14" s="6"/>
      <c r="R14" s="6"/>
      <c r="S14" s="6"/>
      <c r="T14" s="6"/>
      <c r="U14" s="6"/>
      <c r="V14" s="6"/>
      <c r="W14" s="6"/>
      <c r="X14" s="6"/>
      <c r="Y14" s="6"/>
      <c r="Z14" s="235"/>
      <c r="AA14" s="6"/>
      <c r="AB14" s="9"/>
      <c r="AC14" s="9"/>
      <c r="AD14" s="9"/>
      <c r="AE14" s="236"/>
      <c r="AF14" s="9"/>
      <c r="AG14" s="275"/>
      <c r="AH14" s="164"/>
      <c r="AI14" s="9"/>
      <c r="AJ14" s="9"/>
      <c r="AK14" s="11"/>
      <c r="AL14" s="11"/>
      <c r="AM14" s="11"/>
      <c r="AN14" s="11"/>
      <c r="AO14" s="11"/>
      <c r="AP14" s="11"/>
      <c r="AQ14" s="11"/>
      <c r="AR14" s="235"/>
      <c r="AS14" s="16"/>
      <c r="AT14" s="136"/>
      <c r="AU14" s="11"/>
      <c r="AV14" s="11"/>
      <c r="AW14" s="11"/>
      <c r="AX14" s="11"/>
      <c r="AY14" s="11"/>
      <c r="AZ14" s="11"/>
      <c r="BA14" s="11"/>
      <c r="BB14" s="11"/>
    </row>
    <row r="15" spans="1:54" x14ac:dyDescent="0.25">
      <c r="A15" s="4"/>
      <c r="B15" s="5"/>
      <c r="C15" s="5">
        <v>0</v>
      </c>
      <c r="D15" s="5"/>
      <c r="E15" s="5"/>
      <c r="F15" s="5"/>
      <c r="G15" s="5"/>
      <c r="H15" s="54" t="s">
        <v>30</v>
      </c>
      <c r="I15" s="254"/>
      <c r="J15" s="5"/>
      <c r="K15" s="5"/>
      <c r="L15" s="5"/>
      <c r="M15" s="5"/>
      <c r="N15" s="236"/>
      <c r="O15" s="236"/>
      <c r="P15" s="5"/>
      <c r="Q15" s="5"/>
      <c r="R15" s="5"/>
      <c r="S15" s="5"/>
      <c r="T15" s="5"/>
      <c r="U15" s="5"/>
      <c r="V15" s="5"/>
      <c r="W15" s="5"/>
      <c r="X15" s="5"/>
      <c r="Y15" s="5"/>
      <c r="Z15" s="236"/>
      <c r="AA15" s="5"/>
      <c r="AB15" s="9"/>
      <c r="AC15" s="9"/>
      <c r="AD15" s="9"/>
      <c r="AE15" s="236"/>
      <c r="AF15" s="9"/>
      <c r="AG15" s="275"/>
      <c r="AH15" s="164"/>
      <c r="AI15" s="9"/>
      <c r="AJ15" s="9"/>
      <c r="AK15" s="9"/>
      <c r="AL15" s="9"/>
      <c r="AM15" s="9"/>
      <c r="AN15" s="9"/>
      <c r="AO15" s="9"/>
      <c r="AP15" s="9"/>
      <c r="AQ15" s="9"/>
      <c r="AR15" s="236"/>
      <c r="AS15" s="10"/>
      <c r="AT15" s="136"/>
      <c r="AU15" s="11"/>
      <c r="AV15" s="11"/>
      <c r="AW15" s="11"/>
      <c r="AX15" s="11"/>
      <c r="AY15" s="11"/>
      <c r="AZ15" s="11"/>
      <c r="BA15" s="11"/>
      <c r="BB15" s="11"/>
    </row>
    <row r="16" spans="1:54" x14ac:dyDescent="0.25">
      <c r="A16" s="4"/>
      <c r="B16" s="5"/>
      <c r="C16" s="5"/>
      <c r="D16" s="5">
        <v>0</v>
      </c>
      <c r="E16" s="5"/>
      <c r="F16" s="5"/>
      <c r="G16" s="5"/>
      <c r="H16" s="54" t="s">
        <v>31</v>
      </c>
      <c r="I16" s="211"/>
      <c r="J16" s="6"/>
      <c r="K16" s="6"/>
      <c r="L16" s="6"/>
      <c r="M16" s="6"/>
      <c r="N16" s="235"/>
      <c r="O16" s="235"/>
      <c r="P16" s="6"/>
      <c r="Q16" s="6"/>
      <c r="R16" s="6"/>
      <c r="S16" s="6"/>
      <c r="T16" s="6"/>
      <c r="U16" s="6"/>
      <c r="V16" s="6"/>
      <c r="W16" s="6"/>
      <c r="X16" s="6"/>
      <c r="Y16" s="6"/>
      <c r="Z16" s="235"/>
      <c r="AA16" s="6"/>
      <c r="AB16" s="9"/>
      <c r="AC16" s="9"/>
      <c r="AD16" s="9"/>
      <c r="AE16" s="236"/>
      <c r="AF16" s="9"/>
      <c r="AG16" s="275"/>
      <c r="AH16" s="164"/>
      <c r="AI16" s="9"/>
      <c r="AJ16" s="9"/>
      <c r="AK16" s="11"/>
      <c r="AL16" s="11"/>
      <c r="AM16" s="11"/>
      <c r="AN16" s="11"/>
      <c r="AO16" s="11"/>
      <c r="AP16" s="11"/>
      <c r="AQ16" s="11"/>
      <c r="AR16" s="235"/>
      <c r="AS16" s="16"/>
      <c r="AT16" s="136"/>
      <c r="AU16" s="11"/>
      <c r="AV16" s="11"/>
      <c r="AW16" s="11"/>
      <c r="AX16" s="11"/>
      <c r="AY16" s="11"/>
      <c r="AZ16" s="11"/>
      <c r="BA16" s="11"/>
      <c r="BB16" s="11"/>
    </row>
    <row r="17" spans="1:54" x14ac:dyDescent="0.25">
      <c r="A17" s="4"/>
      <c r="B17" s="5"/>
      <c r="C17" s="5"/>
      <c r="D17" s="5"/>
      <c r="E17" s="5">
        <v>1</v>
      </c>
      <c r="F17" s="5">
        <v>0</v>
      </c>
      <c r="G17" s="5"/>
      <c r="H17" s="54" t="s">
        <v>59</v>
      </c>
      <c r="I17" s="211"/>
      <c r="J17" s="6"/>
      <c r="K17" s="6"/>
      <c r="L17" s="6"/>
      <c r="M17" s="6"/>
      <c r="N17" s="235"/>
      <c r="O17" s="235"/>
      <c r="P17" s="6"/>
      <c r="Q17" s="6"/>
      <c r="R17" s="6"/>
      <c r="S17" s="6"/>
      <c r="T17" s="6"/>
      <c r="U17" s="6"/>
      <c r="V17" s="6"/>
      <c r="W17" s="6"/>
      <c r="X17" s="6"/>
      <c r="Y17" s="6"/>
      <c r="Z17" s="235"/>
      <c r="AA17" s="6"/>
      <c r="AB17" s="9">
        <v>52270641.5</v>
      </c>
      <c r="AC17" s="9">
        <v>47767950</v>
      </c>
      <c r="AD17" s="9">
        <v>47767950</v>
      </c>
      <c r="AE17" s="236">
        <v>39082486</v>
      </c>
      <c r="AF17" s="9">
        <f>28053930.1+AG17</f>
        <v>30750756.470000003</v>
      </c>
      <c r="AG17" s="275">
        <f>+AR17</f>
        <v>2696826.37</v>
      </c>
      <c r="AH17" s="200">
        <v>1648021.61</v>
      </c>
      <c r="AI17" s="11">
        <v>2204582.67</v>
      </c>
      <c r="AJ17" s="11">
        <v>1985563.94</v>
      </c>
      <c r="AK17" s="11">
        <v>2319046.42</v>
      </c>
      <c r="AL17" s="11">
        <v>3745292.46</v>
      </c>
      <c r="AM17" s="11">
        <v>1688000.09</v>
      </c>
      <c r="AN17" s="11">
        <v>5188485.8099999996</v>
      </c>
      <c r="AO17" s="11">
        <v>74260</v>
      </c>
      <c r="AP17" s="11">
        <v>640816.54</v>
      </c>
      <c r="AQ17" s="11">
        <v>3581796.89</v>
      </c>
      <c r="AR17" s="235">
        <v>2696826.37</v>
      </c>
      <c r="AS17" s="16">
        <v>0</v>
      </c>
      <c r="AT17" s="136"/>
      <c r="AU17" s="9">
        <v>263</v>
      </c>
      <c r="AV17" s="9">
        <v>62234174</v>
      </c>
      <c r="AW17" s="9">
        <v>276</v>
      </c>
      <c r="AX17" s="9">
        <v>65345883</v>
      </c>
      <c r="AY17" s="9">
        <v>290</v>
      </c>
      <c r="AZ17" s="9">
        <v>68613176</v>
      </c>
      <c r="BA17" s="9">
        <v>305</v>
      </c>
      <c r="BB17" s="9">
        <v>72043835</v>
      </c>
    </row>
    <row r="18" spans="1:54" x14ac:dyDescent="0.25">
      <c r="A18" s="4">
        <v>4</v>
      </c>
      <c r="B18" s="5"/>
      <c r="C18" s="5"/>
      <c r="D18" s="5"/>
      <c r="E18" s="5"/>
      <c r="F18" s="5"/>
      <c r="G18" s="5">
        <v>1</v>
      </c>
      <c r="H18" s="54" t="s">
        <v>60</v>
      </c>
      <c r="I18" s="254" t="s">
        <v>34</v>
      </c>
      <c r="J18" s="80">
        <f>J19</f>
        <v>251</v>
      </c>
      <c r="K18" s="80">
        <f>K19</f>
        <v>259</v>
      </c>
      <c r="L18" s="80">
        <f>L19</f>
        <v>259</v>
      </c>
      <c r="M18" s="80">
        <v>215</v>
      </c>
      <c r="N18" s="236">
        <f>156+O18</f>
        <v>170</v>
      </c>
      <c r="O18" s="236">
        <f>+Z18</f>
        <v>14</v>
      </c>
      <c r="P18" s="80">
        <f t="shared" ref="P18:AA18" si="1">+P19</f>
        <v>0</v>
      </c>
      <c r="Q18" s="80">
        <f t="shared" si="1"/>
        <v>22</v>
      </c>
      <c r="R18" s="80">
        <f t="shared" si="1"/>
        <v>10</v>
      </c>
      <c r="S18" s="80">
        <f t="shared" si="1"/>
        <v>13</v>
      </c>
      <c r="T18" s="80">
        <f t="shared" si="1"/>
        <v>21</v>
      </c>
      <c r="U18" s="80">
        <f t="shared" si="1"/>
        <v>21</v>
      </c>
      <c r="V18" s="80">
        <f t="shared" si="1"/>
        <v>16</v>
      </c>
      <c r="W18" s="80">
        <f t="shared" si="1"/>
        <v>15</v>
      </c>
      <c r="X18" s="80">
        <f t="shared" si="1"/>
        <v>15</v>
      </c>
      <c r="Y18" s="80">
        <v>22</v>
      </c>
      <c r="Z18" s="236">
        <v>14</v>
      </c>
      <c r="AA18" s="80">
        <f t="shared" si="1"/>
        <v>0</v>
      </c>
      <c r="AB18" s="9"/>
      <c r="AC18" s="9"/>
      <c r="AD18" s="9"/>
      <c r="AE18" s="236"/>
      <c r="AF18" s="9"/>
      <c r="AG18" s="275"/>
      <c r="AH18" s="164"/>
      <c r="AI18" s="9"/>
      <c r="AJ18" s="9"/>
      <c r="AK18" s="9"/>
      <c r="AL18" s="9"/>
      <c r="AM18" s="9"/>
      <c r="AN18" s="9"/>
      <c r="AO18" s="9"/>
      <c r="AP18" s="9"/>
      <c r="AQ18" s="9"/>
      <c r="AR18" s="236"/>
      <c r="AS18" s="10"/>
      <c r="AT18" s="136"/>
      <c r="AU18" s="11"/>
      <c r="AV18" s="11"/>
      <c r="AW18" s="11"/>
      <c r="AX18" s="11"/>
      <c r="AY18" s="11"/>
      <c r="AZ18" s="11"/>
      <c r="BA18" s="11"/>
      <c r="BB18" s="11"/>
    </row>
    <row r="19" spans="1:54" ht="15.75" thickBot="1" x14ac:dyDescent="0.3">
      <c r="A19" s="4"/>
      <c r="B19" s="5"/>
      <c r="C19" s="5"/>
      <c r="D19" s="5"/>
      <c r="E19" s="5"/>
      <c r="F19" s="5"/>
      <c r="G19" s="6">
        <v>2</v>
      </c>
      <c r="H19" s="114" t="s">
        <v>60</v>
      </c>
      <c r="I19" s="211" t="s">
        <v>34</v>
      </c>
      <c r="J19" s="6">
        <v>251</v>
      </c>
      <c r="K19" s="6">
        <v>259</v>
      </c>
      <c r="L19" s="6">
        <v>259</v>
      </c>
      <c r="M19" s="6">
        <v>215</v>
      </c>
      <c r="N19" s="235">
        <f>156+O19</f>
        <v>170</v>
      </c>
      <c r="O19" s="236">
        <f>+Z19</f>
        <v>14</v>
      </c>
      <c r="P19" s="88">
        <v>0</v>
      </c>
      <c r="Q19" s="88">
        <v>22</v>
      </c>
      <c r="R19" s="88">
        <v>10</v>
      </c>
      <c r="S19" s="88">
        <v>13</v>
      </c>
      <c r="T19" s="88">
        <v>21</v>
      </c>
      <c r="U19" s="88">
        <v>21</v>
      </c>
      <c r="V19" s="88">
        <v>16</v>
      </c>
      <c r="W19" s="88">
        <v>15</v>
      </c>
      <c r="X19" s="88">
        <v>15</v>
      </c>
      <c r="Y19" s="88">
        <v>22</v>
      </c>
      <c r="Z19" s="235">
        <v>14</v>
      </c>
      <c r="AA19" s="88">
        <v>0</v>
      </c>
      <c r="AB19" s="9"/>
      <c r="AC19" s="9"/>
      <c r="AD19" s="9"/>
      <c r="AE19" s="236"/>
      <c r="AF19" s="9"/>
      <c r="AG19" s="275"/>
      <c r="AH19" s="281"/>
      <c r="AI19" s="213"/>
      <c r="AJ19" s="213"/>
      <c r="AK19" s="213"/>
      <c r="AL19" s="213"/>
      <c r="AM19" s="213"/>
      <c r="AN19" s="213"/>
      <c r="AO19" s="213"/>
      <c r="AP19" s="15"/>
      <c r="AQ19" s="11"/>
      <c r="AR19" s="235"/>
      <c r="AS19" s="344"/>
      <c r="AT19" s="136"/>
      <c r="AU19" s="11"/>
      <c r="AV19" s="11"/>
      <c r="AW19" s="11"/>
      <c r="AX19" s="11"/>
      <c r="AY19" s="11"/>
      <c r="AZ19" s="11"/>
      <c r="BA19" s="11"/>
      <c r="BB19" s="11"/>
    </row>
    <row r="20" spans="1:54" ht="75" x14ac:dyDescent="0.25">
      <c r="A20" s="283"/>
      <c r="B20" s="212">
        <v>94</v>
      </c>
      <c r="C20" s="212"/>
      <c r="D20" s="212"/>
      <c r="E20" s="212"/>
      <c r="F20" s="212"/>
      <c r="G20" s="212"/>
      <c r="H20" s="54" t="s">
        <v>257</v>
      </c>
      <c r="I20" s="212"/>
      <c r="J20" s="212"/>
      <c r="K20" s="212"/>
      <c r="L20" s="212"/>
      <c r="M20" s="212"/>
      <c r="N20" s="245"/>
      <c r="O20" s="245"/>
      <c r="P20" s="212"/>
      <c r="Q20" s="212"/>
      <c r="R20" s="212"/>
      <c r="S20" s="212"/>
      <c r="T20" s="212"/>
      <c r="U20" s="212"/>
      <c r="V20" s="212"/>
      <c r="W20" s="212"/>
      <c r="X20" s="212"/>
      <c r="Y20" s="212"/>
      <c r="Z20" s="245"/>
      <c r="AA20" s="212"/>
      <c r="AB20" s="212"/>
      <c r="AC20" s="212"/>
      <c r="AD20" s="212"/>
      <c r="AE20" s="245"/>
      <c r="AF20" s="212"/>
      <c r="AG20" s="345"/>
      <c r="AH20" s="282"/>
      <c r="AI20" s="212"/>
      <c r="AJ20" s="212"/>
      <c r="AK20" s="212"/>
      <c r="AL20" s="212"/>
      <c r="AM20" s="212"/>
      <c r="AN20" s="212"/>
      <c r="AO20" s="212"/>
      <c r="AQ20" s="11"/>
      <c r="AR20" s="245"/>
    </row>
    <row r="21" spans="1:54" ht="45" x14ac:dyDescent="0.25">
      <c r="A21" s="283"/>
      <c r="B21" s="212"/>
      <c r="C21" s="212">
        <v>11</v>
      </c>
      <c r="D21" s="212"/>
      <c r="E21" s="212"/>
      <c r="F21" s="212"/>
      <c r="G21" s="212"/>
      <c r="H21" s="214" t="s">
        <v>258</v>
      </c>
      <c r="I21" s="212"/>
      <c r="J21" s="212"/>
      <c r="K21" s="212"/>
      <c r="L21" s="228">
        <v>0</v>
      </c>
      <c r="M21" s="228">
        <v>97</v>
      </c>
      <c r="N21" s="342">
        <v>0</v>
      </c>
      <c r="O21" s="236">
        <f t="shared" ref="O21:O22" si="2">+Z21</f>
        <v>0</v>
      </c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45"/>
      <c r="AA21" s="212"/>
      <c r="AB21" s="212">
        <v>0</v>
      </c>
      <c r="AC21" s="212">
        <v>0</v>
      </c>
      <c r="AD21" s="244">
        <v>0</v>
      </c>
      <c r="AE21" s="236">
        <v>4499442</v>
      </c>
      <c r="AF21" s="244">
        <v>0</v>
      </c>
      <c r="AG21" s="346">
        <v>0</v>
      </c>
      <c r="AH21" s="282"/>
      <c r="AI21" s="212"/>
      <c r="AJ21" s="212"/>
      <c r="AK21" s="212"/>
      <c r="AL21" s="212"/>
      <c r="AM21" s="212"/>
      <c r="AN21" s="212"/>
      <c r="AO21" s="212">
        <v>0</v>
      </c>
      <c r="AQ21" s="11"/>
      <c r="AR21" s="245">
        <v>0</v>
      </c>
    </row>
    <row r="22" spans="1:54" ht="45" x14ac:dyDescent="0.25">
      <c r="A22" s="283"/>
      <c r="B22" s="212"/>
      <c r="C22" s="212"/>
      <c r="D22" s="212">
        <v>0</v>
      </c>
      <c r="E22" s="212"/>
      <c r="F22" s="212"/>
      <c r="G22" s="212">
        <v>1</v>
      </c>
      <c r="H22" s="215" t="s">
        <v>259</v>
      </c>
      <c r="I22" s="212" t="s">
        <v>260</v>
      </c>
      <c r="J22" s="212"/>
      <c r="K22" s="212"/>
      <c r="L22" s="212">
        <v>0</v>
      </c>
      <c r="M22" s="212">
        <v>97</v>
      </c>
      <c r="N22" s="245">
        <v>0</v>
      </c>
      <c r="O22" s="236">
        <f t="shared" si="2"/>
        <v>0</v>
      </c>
      <c r="P22" s="212"/>
      <c r="Q22" s="212"/>
      <c r="R22" s="212"/>
      <c r="S22" s="212"/>
      <c r="T22" s="212"/>
      <c r="U22" s="212"/>
      <c r="V22" s="212"/>
      <c r="W22" s="212">
        <v>0</v>
      </c>
      <c r="X22" s="212"/>
      <c r="Y22" s="212"/>
      <c r="Z22" s="245"/>
      <c r="AA22" s="212"/>
      <c r="AB22" s="212">
        <v>0</v>
      </c>
      <c r="AC22" s="212">
        <v>0</v>
      </c>
      <c r="AD22" s="123">
        <v>0</v>
      </c>
      <c r="AE22" s="123">
        <v>0</v>
      </c>
      <c r="AF22" s="123">
        <v>0</v>
      </c>
      <c r="AG22" s="347">
        <v>0</v>
      </c>
      <c r="AH22" s="282"/>
      <c r="AI22" s="212"/>
      <c r="AJ22" s="212"/>
      <c r="AK22" s="212"/>
      <c r="AL22" s="212"/>
      <c r="AM22" s="212"/>
      <c r="AN22" s="212"/>
      <c r="AO22" s="212"/>
      <c r="AQ22" s="11"/>
      <c r="AR22" s="245">
        <v>0</v>
      </c>
    </row>
    <row r="23" spans="1:54" ht="45" x14ac:dyDescent="0.25">
      <c r="A23" s="283"/>
      <c r="B23" s="212">
        <v>14</v>
      </c>
      <c r="C23" s="212"/>
      <c r="D23" s="212"/>
      <c r="E23" s="212"/>
      <c r="F23" s="212"/>
      <c r="G23" s="212"/>
      <c r="H23" s="214" t="s">
        <v>252</v>
      </c>
      <c r="I23" s="212"/>
      <c r="J23" s="212"/>
      <c r="K23" s="212"/>
      <c r="L23" s="212"/>
      <c r="M23" s="212"/>
      <c r="N23" s="245"/>
      <c r="O23" s="245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45"/>
      <c r="AA23" s="212"/>
      <c r="AB23" s="212"/>
      <c r="AC23" s="212"/>
      <c r="AD23" s="212"/>
      <c r="AE23" s="245"/>
      <c r="AF23" s="212"/>
      <c r="AG23" s="345"/>
      <c r="AH23" s="282"/>
      <c r="AI23" s="212"/>
      <c r="AJ23" s="212"/>
      <c r="AK23" s="212"/>
      <c r="AL23" s="212"/>
      <c r="AM23" s="212"/>
      <c r="AN23" s="212"/>
      <c r="AO23" s="212"/>
      <c r="AQ23" s="11"/>
      <c r="AR23" s="245"/>
    </row>
    <row r="24" spans="1:54" ht="75" x14ac:dyDescent="0.25">
      <c r="A24" s="283"/>
      <c r="B24" s="212"/>
      <c r="C24" s="212">
        <v>0</v>
      </c>
      <c r="D24" s="212"/>
      <c r="E24" s="212"/>
      <c r="F24" s="212"/>
      <c r="G24" s="212"/>
      <c r="H24" s="214" t="s">
        <v>253</v>
      </c>
      <c r="I24" s="212"/>
      <c r="J24" s="212"/>
      <c r="K24" s="212"/>
      <c r="L24" s="228">
        <v>0</v>
      </c>
      <c r="M24" s="241">
        <v>30</v>
      </c>
      <c r="N24" s="352">
        <f>+O24</f>
        <v>5</v>
      </c>
      <c r="O24" s="236">
        <f t="shared" ref="O24:O27" si="3">+Z24</f>
        <v>5</v>
      </c>
      <c r="P24" s="212"/>
      <c r="Q24" s="212"/>
      <c r="R24" s="212"/>
      <c r="S24" s="212"/>
      <c r="T24" s="212"/>
      <c r="U24" s="212"/>
      <c r="V24" s="212"/>
      <c r="W24" s="212"/>
      <c r="X24" s="212"/>
      <c r="Y24" s="212"/>
      <c r="Z24" s="245">
        <v>5</v>
      </c>
      <c r="AA24" s="212"/>
      <c r="AB24" s="212"/>
      <c r="AC24" s="212"/>
      <c r="AD24" s="244">
        <v>0</v>
      </c>
      <c r="AE24" s="236">
        <v>40250447</v>
      </c>
      <c r="AF24" s="243">
        <v>6083884</v>
      </c>
      <c r="AG24" s="284">
        <f>+AQ24</f>
        <v>6083884</v>
      </c>
      <c r="AH24" s="282"/>
      <c r="AI24" s="212"/>
      <c r="AJ24" s="212"/>
      <c r="AK24" s="212"/>
      <c r="AL24" s="212"/>
      <c r="AM24" s="212"/>
      <c r="AN24" s="212"/>
      <c r="AO24" s="212">
        <v>0</v>
      </c>
      <c r="AQ24" s="11">
        <v>6083884</v>
      </c>
      <c r="AR24" s="245">
        <v>0</v>
      </c>
    </row>
    <row r="25" spans="1:54" ht="75" x14ac:dyDescent="0.25">
      <c r="A25" s="283"/>
      <c r="B25" s="212"/>
      <c r="C25" s="212"/>
      <c r="D25" s="212">
        <v>2</v>
      </c>
      <c r="E25" s="212"/>
      <c r="F25" s="212"/>
      <c r="G25" s="212">
        <v>1</v>
      </c>
      <c r="H25" s="215" t="s">
        <v>254</v>
      </c>
      <c r="I25" s="212" t="s">
        <v>260</v>
      </c>
      <c r="J25" s="212"/>
      <c r="K25" s="212"/>
      <c r="L25" s="212">
        <v>0</v>
      </c>
      <c r="M25" s="242">
        <v>30</v>
      </c>
      <c r="N25" s="243">
        <f>+O25</f>
        <v>5</v>
      </c>
      <c r="O25" s="236">
        <f t="shared" si="3"/>
        <v>5</v>
      </c>
      <c r="P25" s="212"/>
      <c r="Q25" s="212"/>
      <c r="R25" s="212"/>
      <c r="S25" s="212"/>
      <c r="T25" s="212"/>
      <c r="U25" s="212"/>
      <c r="V25" s="212"/>
      <c r="W25" s="212">
        <v>0</v>
      </c>
      <c r="X25" s="212"/>
      <c r="Y25" s="212"/>
      <c r="Z25" s="245">
        <v>5</v>
      </c>
      <c r="AA25" s="212"/>
      <c r="AB25" s="212">
        <v>0</v>
      </c>
      <c r="AC25" s="212">
        <v>0</v>
      </c>
      <c r="AD25" s="59">
        <v>0</v>
      </c>
      <c r="AE25" s="59">
        <v>0</v>
      </c>
      <c r="AF25" s="59">
        <v>0</v>
      </c>
      <c r="AG25" s="346">
        <v>0</v>
      </c>
      <c r="AH25" s="282"/>
      <c r="AI25" s="212"/>
      <c r="AJ25" s="212"/>
      <c r="AK25" s="212"/>
      <c r="AL25" s="212"/>
      <c r="AM25" s="212"/>
      <c r="AN25" s="212"/>
      <c r="AO25" s="212">
        <v>0</v>
      </c>
      <c r="AQ25" s="11"/>
      <c r="AR25" s="245"/>
    </row>
    <row r="26" spans="1:54" ht="135" x14ac:dyDescent="0.25">
      <c r="A26" s="61"/>
      <c r="B26" s="6"/>
      <c r="C26" s="6">
        <v>15</v>
      </c>
      <c r="D26" s="6"/>
      <c r="E26" s="6"/>
      <c r="F26" s="6"/>
      <c r="G26" s="6"/>
      <c r="H26" s="54" t="s">
        <v>262</v>
      </c>
      <c r="I26" s="211" t="s">
        <v>64</v>
      </c>
      <c r="J26" s="59"/>
      <c r="K26" s="59"/>
      <c r="L26" s="60">
        <v>0</v>
      </c>
      <c r="M26" s="60">
        <v>8</v>
      </c>
      <c r="N26" s="343">
        <v>0</v>
      </c>
      <c r="O26" s="236">
        <f t="shared" si="3"/>
        <v>0</v>
      </c>
      <c r="P26" s="60"/>
      <c r="Q26" s="60"/>
      <c r="R26" s="60"/>
      <c r="S26" s="60"/>
      <c r="T26" s="60"/>
      <c r="U26" s="60"/>
      <c r="V26" s="60"/>
      <c r="W26" s="60"/>
      <c r="X26" s="60"/>
      <c r="Y26" s="60">
        <v>0</v>
      </c>
      <c r="Z26" s="340">
        <v>0</v>
      </c>
      <c r="AA26" s="59"/>
      <c r="AB26" s="59"/>
      <c r="AC26" s="59"/>
      <c r="AD26" s="244">
        <v>0</v>
      </c>
      <c r="AE26" s="244">
        <v>0</v>
      </c>
      <c r="AF26" s="244">
        <v>0</v>
      </c>
      <c r="AG26" s="348">
        <v>0</v>
      </c>
      <c r="AQ26" s="11"/>
      <c r="AR26" s="245"/>
    </row>
    <row r="27" spans="1:54" ht="41.25" thickBot="1" x14ac:dyDescent="0.3">
      <c r="A27" s="62"/>
      <c r="B27" s="63"/>
      <c r="C27" s="63"/>
      <c r="D27" s="63"/>
      <c r="E27" s="63">
        <v>1</v>
      </c>
      <c r="F27" s="63"/>
      <c r="G27" s="63"/>
      <c r="H27" s="64" t="s">
        <v>263</v>
      </c>
      <c r="I27" s="258" t="s">
        <v>64</v>
      </c>
      <c r="J27" s="263">
        <v>0</v>
      </c>
      <c r="K27" s="263">
        <v>0</v>
      </c>
      <c r="L27" s="263">
        <v>0</v>
      </c>
      <c r="M27" s="263">
        <v>8</v>
      </c>
      <c r="N27" s="341">
        <v>0</v>
      </c>
      <c r="O27" s="236">
        <f t="shared" si="3"/>
        <v>0</v>
      </c>
      <c r="P27" s="263"/>
      <c r="Q27" s="263"/>
      <c r="R27" s="263"/>
      <c r="S27" s="263"/>
      <c r="T27" s="263"/>
      <c r="U27" s="263"/>
      <c r="V27" s="263"/>
      <c r="W27" s="263">
        <v>0</v>
      </c>
      <c r="X27" s="263"/>
      <c r="Y27" s="263">
        <v>0</v>
      </c>
      <c r="Z27" s="341">
        <v>0</v>
      </c>
      <c r="AA27" s="263"/>
      <c r="AB27" s="263">
        <v>0</v>
      </c>
      <c r="AC27" s="263">
        <v>0</v>
      </c>
      <c r="AD27" s="263">
        <v>0</v>
      </c>
      <c r="AE27" s="263">
        <v>0</v>
      </c>
      <c r="AF27" s="263">
        <v>0</v>
      </c>
      <c r="AG27" s="349">
        <f>+AQ27</f>
        <v>0</v>
      </c>
      <c r="AQ27" s="11"/>
      <c r="AR27" s="245"/>
    </row>
  </sheetData>
  <mergeCells count="7">
    <mergeCell ref="AW5:AX5"/>
    <mergeCell ref="AY5:AZ5"/>
    <mergeCell ref="BA5:BB5"/>
    <mergeCell ref="A5:I5"/>
    <mergeCell ref="J5:O5"/>
    <mergeCell ref="AB5:AG5"/>
    <mergeCell ref="AU5:AV5"/>
  </mergeCells>
  <pageMargins left="0.7" right="0.7" top="0.75" bottom="0.75" header="0.3" footer="0.3"/>
  <pageSetup orientation="portrait" verticalDpi="0" r:id="rId1"/>
  <ignoredErrors>
    <ignoredError sqref="N14:N17 AF11:AF16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1:BO30"/>
  <sheetViews>
    <sheetView topLeftCell="A7" zoomScale="85" zoomScaleNormal="85" workbookViewId="0">
      <selection activeCell="AF21" sqref="AF21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hidden="1" customWidth="1"/>
    <col min="12" max="13" width="10.7109375" customWidth="1"/>
    <col min="14" max="15" width="13.7109375" customWidth="1"/>
    <col min="16" max="27" width="13.7109375" hidden="1" customWidth="1"/>
    <col min="28" max="33" width="13.7109375" customWidth="1"/>
    <col min="34" max="45" width="13.7109375" hidden="1" customWidth="1"/>
    <col min="46" max="46" width="11.5703125" bestFit="1" customWidth="1"/>
    <col min="47" max="47" width="10.7109375" customWidth="1"/>
    <col min="48" max="48" width="15.7109375" customWidth="1"/>
    <col min="49" max="49" width="10.7109375" customWidth="1"/>
    <col min="50" max="50" width="15.7109375" customWidth="1"/>
    <col min="51" max="51" width="10.7109375" customWidth="1"/>
    <col min="52" max="52" width="15.7109375" customWidth="1"/>
    <col min="53" max="53" width="10.7109375" customWidth="1"/>
    <col min="54" max="54" width="15.7109375" customWidth="1"/>
  </cols>
  <sheetData>
    <row r="1" spans="1:54" ht="15" customHeight="1" x14ac:dyDescent="0.25">
      <c r="A1" s="32" t="s">
        <v>49</v>
      </c>
    </row>
    <row r="2" spans="1:54" ht="15" customHeight="1" x14ac:dyDescent="0.25">
      <c r="A2" s="32" t="s">
        <v>50</v>
      </c>
    </row>
    <row r="3" spans="1:54" ht="15" customHeight="1" x14ac:dyDescent="0.25">
      <c r="A3" s="32" t="str">
        <f>+'217. FSS'!A3</f>
        <v xml:space="preserve">EJERCICIO FISCAL 2022 - ACTUALIZADA NOVIEMBRE </v>
      </c>
    </row>
    <row r="4" spans="1:54" ht="15" customHeight="1" thickBot="1" x14ac:dyDescent="0.3"/>
    <row r="5" spans="1:54" s="115" customFormat="1" ht="15" customHeight="1" x14ac:dyDescent="0.25">
      <c r="A5" s="336" t="s">
        <v>205</v>
      </c>
      <c r="B5" s="337"/>
      <c r="C5" s="337"/>
      <c r="D5" s="337"/>
      <c r="E5" s="337"/>
      <c r="F5" s="337"/>
      <c r="G5" s="337"/>
      <c r="H5" s="337"/>
      <c r="I5" s="337"/>
      <c r="J5" s="338" t="s">
        <v>206</v>
      </c>
      <c r="K5" s="338"/>
      <c r="L5" s="338"/>
      <c r="M5" s="338"/>
      <c r="N5" s="338"/>
      <c r="O5" s="338"/>
      <c r="P5" s="338"/>
      <c r="Q5" s="338"/>
      <c r="R5" s="338"/>
      <c r="S5" s="338"/>
      <c r="T5" s="338"/>
      <c r="U5" s="338"/>
      <c r="V5" s="338"/>
      <c r="W5" s="338"/>
      <c r="X5" s="338"/>
      <c r="Y5" s="338"/>
      <c r="Z5" s="338"/>
      <c r="AA5" s="338"/>
      <c r="AB5" s="338" t="s">
        <v>2</v>
      </c>
      <c r="AC5" s="338"/>
      <c r="AD5" s="338"/>
      <c r="AE5" s="338"/>
      <c r="AF5" s="338"/>
      <c r="AG5" s="338"/>
      <c r="AH5" s="338"/>
      <c r="AI5" s="338"/>
      <c r="AJ5" s="338"/>
      <c r="AK5" s="338"/>
      <c r="AL5" s="338"/>
      <c r="AM5" s="338"/>
      <c r="AN5" s="338"/>
      <c r="AO5" s="338"/>
      <c r="AP5" s="338"/>
      <c r="AQ5" s="338"/>
      <c r="AR5" s="338"/>
      <c r="AS5" s="339"/>
      <c r="AT5" s="136"/>
      <c r="AU5" s="327" t="s">
        <v>51</v>
      </c>
      <c r="AV5" s="327"/>
      <c r="AW5" s="327" t="s">
        <v>52</v>
      </c>
      <c r="AX5" s="327"/>
      <c r="AY5" s="327" t="s">
        <v>53</v>
      </c>
      <c r="AZ5" s="327"/>
      <c r="BA5" s="327" t="s">
        <v>55</v>
      </c>
      <c r="BB5" s="327"/>
    </row>
    <row r="6" spans="1:54" s="117" customFormat="1" ht="36" x14ac:dyDescent="0.25">
      <c r="A6" s="255" t="s">
        <v>3</v>
      </c>
      <c r="B6" s="246" t="s">
        <v>4</v>
      </c>
      <c r="C6" s="246" t="s">
        <v>5</v>
      </c>
      <c r="D6" s="246" t="s">
        <v>6</v>
      </c>
      <c r="E6" s="246" t="s">
        <v>7</v>
      </c>
      <c r="F6" s="246" t="s">
        <v>8</v>
      </c>
      <c r="G6" s="246" t="s">
        <v>9</v>
      </c>
      <c r="H6" s="247" t="s">
        <v>10</v>
      </c>
      <c r="I6" s="248" t="s">
        <v>11</v>
      </c>
      <c r="J6" s="249" t="s">
        <v>12</v>
      </c>
      <c r="K6" s="249" t="s">
        <v>65</v>
      </c>
      <c r="L6" s="249" t="s">
        <v>13</v>
      </c>
      <c r="M6" s="249" t="s">
        <v>14</v>
      </c>
      <c r="N6" s="250" t="s">
        <v>15</v>
      </c>
      <c r="O6" s="250" t="s">
        <v>16</v>
      </c>
      <c r="P6" s="250" t="s">
        <v>17</v>
      </c>
      <c r="Q6" s="250" t="s">
        <v>18</v>
      </c>
      <c r="R6" s="250" t="s">
        <v>19</v>
      </c>
      <c r="S6" s="250" t="s">
        <v>20</v>
      </c>
      <c r="T6" s="250" t="s">
        <v>21</v>
      </c>
      <c r="U6" s="250" t="s">
        <v>22</v>
      </c>
      <c r="V6" s="250" t="s">
        <v>23</v>
      </c>
      <c r="W6" s="250" t="s">
        <v>24</v>
      </c>
      <c r="X6" s="250" t="s">
        <v>25</v>
      </c>
      <c r="Y6" s="250" t="s">
        <v>26</v>
      </c>
      <c r="Z6" s="250" t="s">
        <v>27</v>
      </c>
      <c r="AA6" s="250" t="s">
        <v>28</v>
      </c>
      <c r="AB6" s="249" t="s">
        <v>12</v>
      </c>
      <c r="AC6" s="249" t="s">
        <v>65</v>
      </c>
      <c r="AD6" s="249" t="s">
        <v>13</v>
      </c>
      <c r="AE6" s="249" t="s">
        <v>14</v>
      </c>
      <c r="AF6" s="250" t="s">
        <v>15</v>
      </c>
      <c r="AG6" s="250" t="s">
        <v>16</v>
      </c>
      <c r="AH6" s="250" t="s">
        <v>17</v>
      </c>
      <c r="AI6" s="250" t="s">
        <v>18</v>
      </c>
      <c r="AJ6" s="250" t="s">
        <v>19</v>
      </c>
      <c r="AK6" s="250" t="s">
        <v>20</v>
      </c>
      <c r="AL6" s="250" t="s">
        <v>251</v>
      </c>
      <c r="AM6" s="250" t="s">
        <v>22</v>
      </c>
      <c r="AN6" s="250" t="s">
        <v>23</v>
      </c>
      <c r="AO6" s="250" t="s">
        <v>24</v>
      </c>
      <c r="AP6" s="250" t="s">
        <v>25</v>
      </c>
      <c r="AQ6" s="250" t="s">
        <v>26</v>
      </c>
      <c r="AR6" s="250" t="s">
        <v>27</v>
      </c>
      <c r="AS6" s="256" t="s">
        <v>28</v>
      </c>
      <c r="AT6" s="137"/>
      <c r="AU6" s="70" t="s">
        <v>54</v>
      </c>
      <c r="AV6" s="70" t="s">
        <v>2</v>
      </c>
      <c r="AW6" s="70" t="s">
        <v>54</v>
      </c>
      <c r="AX6" s="70" t="s">
        <v>2</v>
      </c>
      <c r="AY6" s="70" t="s">
        <v>54</v>
      </c>
      <c r="AZ6" s="70" t="s">
        <v>2</v>
      </c>
      <c r="BA6" s="70" t="s">
        <v>54</v>
      </c>
      <c r="BB6" s="70" t="s">
        <v>2</v>
      </c>
    </row>
    <row r="7" spans="1:54" s="115" customFormat="1" x14ac:dyDescent="0.25">
      <c r="A7" s="147"/>
      <c r="B7" s="148">
        <v>19</v>
      </c>
      <c r="C7" s="148"/>
      <c r="D7" s="148"/>
      <c r="E7" s="148"/>
      <c r="F7" s="148"/>
      <c r="G7" s="148"/>
      <c r="H7" s="155" t="s">
        <v>203</v>
      </c>
      <c r="I7" s="251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49"/>
      <c r="AC7" s="149"/>
      <c r="AD7" s="149"/>
      <c r="AE7" s="149"/>
      <c r="AF7" s="149"/>
      <c r="AG7" s="149"/>
      <c r="AH7" s="149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3"/>
      <c r="AT7" s="134"/>
      <c r="AU7" s="11"/>
      <c r="AV7" s="11"/>
      <c r="AW7" s="11"/>
      <c r="AX7" s="11"/>
      <c r="AY7" s="11"/>
      <c r="AZ7" s="11"/>
      <c r="BA7" s="11"/>
      <c r="BB7" s="11"/>
    </row>
    <row r="8" spans="1:54" s="115" customFormat="1" x14ac:dyDescent="0.25">
      <c r="A8" s="147"/>
      <c r="B8" s="148"/>
      <c r="C8" s="148">
        <v>0</v>
      </c>
      <c r="D8" s="148"/>
      <c r="E8" s="148"/>
      <c r="F8" s="148"/>
      <c r="G8" s="148"/>
      <c r="H8" s="155" t="s">
        <v>30</v>
      </c>
      <c r="I8" s="2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49"/>
      <c r="AC8" s="149"/>
      <c r="AD8" s="149"/>
      <c r="AE8" s="149"/>
      <c r="AF8" s="149"/>
      <c r="AG8" s="149"/>
      <c r="AH8" s="149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3"/>
      <c r="AT8" s="134"/>
      <c r="AU8" s="11"/>
      <c r="AV8" s="11"/>
      <c r="AW8" s="11"/>
      <c r="AX8" s="11"/>
      <c r="AY8" s="11"/>
      <c r="AZ8" s="11"/>
      <c r="BA8" s="11"/>
      <c r="BB8" s="11"/>
    </row>
    <row r="9" spans="1:54" s="115" customFormat="1" x14ac:dyDescent="0.25">
      <c r="A9" s="147"/>
      <c r="B9" s="148"/>
      <c r="C9" s="148"/>
      <c r="D9" s="148">
        <v>0</v>
      </c>
      <c r="E9" s="148"/>
      <c r="F9" s="148"/>
      <c r="G9" s="148"/>
      <c r="H9" s="155" t="s">
        <v>31</v>
      </c>
      <c r="I9" s="2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49"/>
      <c r="AC9" s="149"/>
      <c r="AD9" s="149"/>
      <c r="AE9" s="149"/>
      <c r="AF9" s="149"/>
      <c r="AG9" s="149"/>
      <c r="AH9" s="149"/>
      <c r="AI9" s="152"/>
      <c r="AJ9" s="149"/>
      <c r="AK9" s="152"/>
      <c r="AL9" s="152"/>
      <c r="AM9" s="152"/>
      <c r="AN9" s="152"/>
      <c r="AO9" s="152"/>
      <c r="AP9" s="152"/>
      <c r="AQ9" s="152"/>
      <c r="AR9" s="152"/>
      <c r="AS9" s="153"/>
      <c r="AT9" s="134"/>
      <c r="AU9" s="11"/>
      <c r="AV9" s="11"/>
      <c r="AW9" s="11"/>
      <c r="AX9" s="11"/>
      <c r="AY9" s="11"/>
      <c r="AZ9" s="11"/>
      <c r="BA9" s="11"/>
      <c r="BB9" s="11"/>
    </row>
    <row r="10" spans="1:54" s="115" customFormat="1" x14ac:dyDescent="0.25">
      <c r="A10" s="147"/>
      <c r="B10" s="148"/>
      <c r="C10" s="148"/>
      <c r="D10" s="148"/>
      <c r="E10" s="148">
        <v>1</v>
      </c>
      <c r="F10" s="148">
        <v>0</v>
      </c>
      <c r="G10" s="148"/>
      <c r="H10" s="155" t="s">
        <v>59</v>
      </c>
      <c r="I10" s="251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49">
        <v>203985582.03999999</v>
      </c>
      <c r="AC10" s="149">
        <v>50000000</v>
      </c>
      <c r="AD10" s="149">
        <v>50000000</v>
      </c>
      <c r="AE10" s="149">
        <v>26353931</v>
      </c>
      <c r="AF10" s="149">
        <v>22119837.210000001</v>
      </c>
      <c r="AG10" s="149">
        <f>+AQ10</f>
        <v>1879020.76</v>
      </c>
      <c r="AH10" s="152">
        <v>1540234.92</v>
      </c>
      <c r="AI10" s="152">
        <v>2050377.78</v>
      </c>
      <c r="AJ10" s="152">
        <v>1625642.52</v>
      </c>
      <c r="AK10" s="152">
        <v>1648961.27</v>
      </c>
      <c r="AL10" s="152">
        <v>585292.71</v>
      </c>
      <c r="AM10" s="152">
        <v>585292.71</v>
      </c>
      <c r="AN10" s="152">
        <v>4673020.46</v>
      </c>
      <c r="AO10" s="152">
        <v>1081878.3700000001</v>
      </c>
      <c r="AP10" s="152">
        <v>1029533.45</v>
      </c>
      <c r="AQ10" s="152">
        <v>1879020.76</v>
      </c>
      <c r="AR10" s="354">
        <v>3499927.65</v>
      </c>
      <c r="AS10" s="153">
        <v>0</v>
      </c>
      <c r="AT10" s="134"/>
      <c r="AU10" s="9">
        <v>369</v>
      </c>
      <c r="AV10" s="9">
        <v>203985582.03999999</v>
      </c>
      <c r="AW10" s="9">
        <v>369</v>
      </c>
      <c r="AX10" s="9">
        <v>203985582.03999999</v>
      </c>
      <c r="AY10" s="9">
        <v>369</v>
      </c>
      <c r="AZ10" s="9">
        <v>203985582.03999999</v>
      </c>
      <c r="BA10" s="9">
        <v>369</v>
      </c>
      <c r="BB10" s="9">
        <v>203985582.03999999</v>
      </c>
    </row>
    <row r="11" spans="1:54" s="115" customFormat="1" x14ac:dyDescent="0.25">
      <c r="A11" s="147">
        <v>4</v>
      </c>
      <c r="B11" s="148"/>
      <c r="C11" s="148"/>
      <c r="D11" s="148"/>
      <c r="E11" s="148"/>
      <c r="F11" s="148"/>
      <c r="G11" s="148">
        <v>1</v>
      </c>
      <c r="H11" s="155" t="s">
        <v>60</v>
      </c>
      <c r="I11" s="253" t="s">
        <v>34</v>
      </c>
      <c r="J11" s="149">
        <f>J12</f>
        <v>369</v>
      </c>
      <c r="K11" s="149">
        <f t="shared" ref="K11:AA11" si="0">K12</f>
        <v>225</v>
      </c>
      <c r="L11" s="149">
        <f t="shared" si="0"/>
        <v>225</v>
      </c>
      <c r="M11" s="149">
        <f t="shared" si="0"/>
        <v>224</v>
      </c>
      <c r="N11" s="149">
        <f>SUM(P11:AA11)</f>
        <v>88</v>
      </c>
      <c r="O11" s="149">
        <f>+Z11</f>
        <v>28</v>
      </c>
      <c r="P11" s="149">
        <f t="shared" si="0"/>
        <v>0</v>
      </c>
      <c r="Q11" s="149">
        <f t="shared" si="0"/>
        <v>6</v>
      </c>
      <c r="R11" s="149">
        <f t="shared" si="0"/>
        <v>0</v>
      </c>
      <c r="S11" s="149">
        <f t="shared" si="0"/>
        <v>0</v>
      </c>
      <c r="T11" s="149">
        <f t="shared" si="0"/>
        <v>3</v>
      </c>
      <c r="U11" s="149">
        <f>U12</f>
        <v>0</v>
      </c>
      <c r="V11" s="149">
        <f t="shared" si="0"/>
        <v>0</v>
      </c>
      <c r="W11" s="149">
        <f t="shared" si="0"/>
        <v>51</v>
      </c>
      <c r="X11" s="149">
        <f t="shared" si="0"/>
        <v>0</v>
      </c>
      <c r="Y11" s="149">
        <f t="shared" si="0"/>
        <v>0</v>
      </c>
      <c r="Z11" s="149">
        <v>28</v>
      </c>
      <c r="AA11" s="149">
        <f t="shared" si="0"/>
        <v>0</v>
      </c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50"/>
      <c r="AT11" s="134"/>
      <c r="AU11" s="9"/>
      <c r="AV11" s="9"/>
      <c r="AW11" s="9"/>
      <c r="AX11" s="9"/>
      <c r="AY11" s="9"/>
      <c r="AZ11" s="9"/>
      <c r="BA11" s="9"/>
      <c r="BB11" s="9"/>
    </row>
    <row r="12" spans="1:54" s="115" customFormat="1" x14ac:dyDescent="0.25">
      <c r="A12" s="147"/>
      <c r="B12" s="148"/>
      <c r="C12" s="148"/>
      <c r="D12" s="148"/>
      <c r="E12" s="148"/>
      <c r="F12" s="148"/>
      <c r="G12" s="151">
        <v>2</v>
      </c>
      <c r="H12" s="154" t="s">
        <v>60</v>
      </c>
      <c r="I12" s="251" t="s">
        <v>34</v>
      </c>
      <c r="J12" s="152">
        <v>369</v>
      </c>
      <c r="K12" s="152">
        <v>225</v>
      </c>
      <c r="L12" s="152">
        <v>225</v>
      </c>
      <c r="M12" s="152">
        <v>224</v>
      </c>
      <c r="N12" s="152">
        <f>SUM(P12:AA12)</f>
        <v>88</v>
      </c>
      <c r="O12" s="152">
        <f>+Z12</f>
        <v>28</v>
      </c>
      <c r="P12" s="152">
        <v>0</v>
      </c>
      <c r="Q12" s="152">
        <v>6</v>
      </c>
      <c r="R12" s="152">
        <v>0</v>
      </c>
      <c r="S12" s="152">
        <v>0</v>
      </c>
      <c r="T12" s="152">
        <v>3</v>
      </c>
      <c r="U12" s="152">
        <v>0</v>
      </c>
      <c r="V12" s="152">
        <v>0</v>
      </c>
      <c r="W12" s="152">
        <v>51</v>
      </c>
      <c r="X12" s="152">
        <v>0</v>
      </c>
      <c r="Y12" s="152">
        <v>0</v>
      </c>
      <c r="Z12" s="152">
        <v>28</v>
      </c>
      <c r="AA12" s="152">
        <v>0</v>
      </c>
      <c r="AB12" s="149"/>
      <c r="AC12" s="149"/>
      <c r="AD12" s="149"/>
      <c r="AE12" s="149"/>
      <c r="AF12" s="149"/>
      <c r="AG12" s="149"/>
      <c r="AH12" s="149"/>
      <c r="AI12" s="149"/>
      <c r="AJ12" s="149"/>
      <c r="AK12" s="152"/>
      <c r="AL12" s="152"/>
      <c r="AM12" s="152"/>
      <c r="AN12" s="152"/>
      <c r="AO12" s="152"/>
      <c r="AP12" s="152"/>
      <c r="AQ12" s="152"/>
      <c r="AR12" s="152"/>
      <c r="AS12" s="153"/>
      <c r="AT12" s="134"/>
      <c r="AU12" s="11"/>
      <c r="AV12" s="11"/>
      <c r="AW12" s="11"/>
      <c r="AX12" s="11"/>
      <c r="AY12" s="11"/>
      <c r="AZ12" s="11"/>
      <c r="BA12" s="11"/>
      <c r="BB12" s="11"/>
    </row>
    <row r="13" spans="1:54" s="115" customFormat="1" x14ac:dyDescent="0.25">
      <c r="A13" s="147"/>
      <c r="B13" s="148"/>
      <c r="C13" s="148"/>
      <c r="D13" s="148"/>
      <c r="E13" s="148">
        <v>2</v>
      </c>
      <c r="F13" s="148">
        <v>0</v>
      </c>
      <c r="G13" s="148"/>
      <c r="H13" s="155" t="s">
        <v>207</v>
      </c>
      <c r="I13" s="251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49">
        <v>875000000</v>
      </c>
      <c r="AC13" s="149">
        <v>496937000</v>
      </c>
      <c r="AD13" s="149">
        <v>529394000</v>
      </c>
      <c r="AE13" s="149">
        <v>281840000</v>
      </c>
      <c r="AF13" s="149">
        <v>235357700</v>
      </c>
      <c r="AG13" s="149">
        <f>+AQ13</f>
        <v>45304500</v>
      </c>
      <c r="AH13" s="152">
        <v>3976000</v>
      </c>
      <c r="AI13" s="152">
        <v>5674500</v>
      </c>
      <c r="AJ13" s="152">
        <v>821100</v>
      </c>
      <c r="AK13" s="152">
        <v>66763100</v>
      </c>
      <c r="AL13" s="152">
        <v>0</v>
      </c>
      <c r="AM13" s="152">
        <v>0</v>
      </c>
      <c r="AN13" s="152">
        <v>79600700</v>
      </c>
      <c r="AO13" s="152">
        <v>49956000</v>
      </c>
      <c r="AP13" s="152">
        <v>0</v>
      </c>
      <c r="AQ13" s="152">
        <v>45304500</v>
      </c>
      <c r="AR13" s="152">
        <v>60496500</v>
      </c>
      <c r="AS13" s="153">
        <v>0</v>
      </c>
      <c r="AT13" s="134"/>
      <c r="AU13" s="9">
        <v>25000</v>
      </c>
      <c r="AV13" s="9">
        <v>875000000</v>
      </c>
      <c r="AW13" s="9">
        <v>25000</v>
      </c>
      <c r="AX13" s="9">
        <v>875000000</v>
      </c>
      <c r="AY13" s="9">
        <v>25000</v>
      </c>
      <c r="AZ13" s="9">
        <v>875000000</v>
      </c>
      <c r="BA13" s="9">
        <v>25000</v>
      </c>
      <c r="BB13" s="9">
        <v>875000000</v>
      </c>
    </row>
    <row r="14" spans="1:54" s="115" customFormat="1" ht="30" x14ac:dyDescent="0.25">
      <c r="A14" s="147">
        <v>4</v>
      </c>
      <c r="B14" s="148"/>
      <c r="C14" s="148"/>
      <c r="D14" s="148"/>
      <c r="E14" s="148"/>
      <c r="F14" s="148"/>
      <c r="G14" s="148">
        <v>1</v>
      </c>
      <c r="H14" s="155" t="s">
        <v>208</v>
      </c>
      <c r="I14" s="253" t="s">
        <v>187</v>
      </c>
      <c r="J14" s="149">
        <f t="shared" ref="J14:AA14" si="1">SUM(J15:J19)</f>
        <v>25485</v>
      </c>
      <c r="K14" s="149">
        <f t="shared" si="1"/>
        <v>14182</v>
      </c>
      <c r="L14" s="149">
        <f t="shared" si="1"/>
        <v>14152</v>
      </c>
      <c r="M14" s="149">
        <v>8632</v>
      </c>
      <c r="N14" s="149">
        <f>SUM(P14:AA14)</f>
        <v>5449</v>
      </c>
      <c r="O14" s="149">
        <f>+Z14</f>
        <v>486</v>
      </c>
      <c r="P14" s="149">
        <f t="shared" si="1"/>
        <v>0</v>
      </c>
      <c r="Q14" s="149">
        <f t="shared" si="1"/>
        <v>76</v>
      </c>
      <c r="R14" s="149">
        <f t="shared" si="1"/>
        <v>68</v>
      </c>
      <c r="S14" s="149">
        <f t="shared" si="1"/>
        <v>305</v>
      </c>
      <c r="T14" s="149">
        <f t="shared" si="1"/>
        <v>1639</v>
      </c>
      <c r="U14" s="149">
        <f t="shared" si="1"/>
        <v>0</v>
      </c>
      <c r="V14" s="149">
        <v>428</v>
      </c>
      <c r="W14" s="149">
        <f t="shared" si="1"/>
        <v>1474</v>
      </c>
      <c r="X14" s="149">
        <v>0</v>
      </c>
      <c r="Y14" s="149">
        <v>973</v>
      </c>
      <c r="Z14" s="149">
        <v>486</v>
      </c>
      <c r="AA14" s="149">
        <f t="shared" si="1"/>
        <v>0</v>
      </c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50"/>
      <c r="AT14" s="134"/>
      <c r="AU14" s="9"/>
      <c r="AV14" s="116"/>
      <c r="AW14" s="9"/>
      <c r="AX14" s="116"/>
      <c r="AY14" s="9"/>
      <c r="AZ14" s="116"/>
      <c r="BA14" s="9"/>
      <c r="BB14" s="116"/>
    </row>
    <row r="15" spans="1:54" s="115" customFormat="1" ht="27" x14ac:dyDescent="0.25">
      <c r="A15" s="147"/>
      <c r="B15" s="148"/>
      <c r="C15" s="148"/>
      <c r="D15" s="148"/>
      <c r="E15" s="148"/>
      <c r="F15" s="148"/>
      <c r="G15" s="151">
        <v>2</v>
      </c>
      <c r="H15" s="154" t="s">
        <v>209</v>
      </c>
      <c r="I15" s="251" t="s">
        <v>187</v>
      </c>
      <c r="J15" s="152">
        <v>970</v>
      </c>
      <c r="K15" s="152">
        <v>398</v>
      </c>
      <c r="L15" s="152">
        <v>398</v>
      </c>
      <c r="M15" s="152">
        <v>176</v>
      </c>
      <c r="N15" s="152">
        <f>SUM(P15:AA15)</f>
        <v>15</v>
      </c>
      <c r="O15" s="152">
        <f>+Z15</f>
        <v>0</v>
      </c>
      <c r="P15" s="152">
        <v>0</v>
      </c>
      <c r="Q15" s="152">
        <v>0</v>
      </c>
      <c r="R15" s="152">
        <v>0</v>
      </c>
      <c r="S15" s="152">
        <v>0</v>
      </c>
      <c r="T15" s="152">
        <v>0</v>
      </c>
      <c r="U15" s="152">
        <v>0</v>
      </c>
      <c r="V15" s="152">
        <v>0</v>
      </c>
      <c r="W15" s="152">
        <v>0</v>
      </c>
      <c r="X15" s="152">
        <v>0</v>
      </c>
      <c r="Y15" s="152">
        <v>15</v>
      </c>
      <c r="Z15" s="152">
        <v>0</v>
      </c>
      <c r="AA15" s="152">
        <v>0</v>
      </c>
      <c r="AB15" s="149"/>
      <c r="AC15" s="149"/>
      <c r="AD15" s="149"/>
      <c r="AE15" s="149"/>
      <c r="AF15" s="149"/>
      <c r="AG15" s="149"/>
      <c r="AH15" s="149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3"/>
      <c r="AT15" s="134"/>
      <c r="AU15" s="11"/>
      <c r="AV15" s="156"/>
      <c r="AW15" s="11"/>
      <c r="AX15" s="156"/>
      <c r="AY15" s="11"/>
      <c r="AZ15" s="156"/>
      <c r="BA15" s="11"/>
      <c r="BB15" s="156"/>
    </row>
    <row r="16" spans="1:54" s="115" customFormat="1" ht="27" x14ac:dyDescent="0.25">
      <c r="A16" s="147"/>
      <c r="B16" s="148"/>
      <c r="C16" s="148"/>
      <c r="D16" s="148"/>
      <c r="E16" s="148"/>
      <c r="F16" s="148"/>
      <c r="G16" s="151">
        <v>3</v>
      </c>
      <c r="H16" s="154" t="s">
        <v>210</v>
      </c>
      <c r="I16" s="251" t="s">
        <v>187</v>
      </c>
      <c r="J16" s="152">
        <v>751</v>
      </c>
      <c r="K16" s="152">
        <v>364</v>
      </c>
      <c r="L16" s="152">
        <v>364</v>
      </c>
      <c r="M16" s="152">
        <v>194</v>
      </c>
      <c r="N16" s="152">
        <f>SUM(P16:AA16)</f>
        <v>0</v>
      </c>
      <c r="O16" s="152">
        <f>+Z16</f>
        <v>0</v>
      </c>
      <c r="P16" s="152">
        <v>0</v>
      </c>
      <c r="Q16" s="152">
        <v>0</v>
      </c>
      <c r="R16" s="152">
        <v>0</v>
      </c>
      <c r="S16" s="152">
        <v>0</v>
      </c>
      <c r="T16" s="152">
        <v>0</v>
      </c>
      <c r="U16" s="152">
        <v>0</v>
      </c>
      <c r="V16" s="152">
        <v>0</v>
      </c>
      <c r="W16" s="152">
        <v>0</v>
      </c>
      <c r="X16" s="152">
        <v>0</v>
      </c>
      <c r="Y16" s="152">
        <v>0</v>
      </c>
      <c r="Z16" s="152">
        <v>0</v>
      </c>
      <c r="AA16" s="152">
        <v>0</v>
      </c>
      <c r="AB16" s="149"/>
      <c r="AC16" s="149"/>
      <c r="AD16" s="149"/>
      <c r="AE16" s="149"/>
      <c r="AF16" s="149"/>
      <c r="AG16" s="149"/>
      <c r="AH16" s="149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3"/>
      <c r="AT16" s="134"/>
      <c r="AU16" s="11"/>
      <c r="AV16" s="156"/>
      <c r="AW16" s="11"/>
      <c r="AX16" s="156"/>
      <c r="AY16" s="11"/>
      <c r="AZ16" s="156"/>
      <c r="BA16" s="11"/>
      <c r="BB16" s="156"/>
    </row>
    <row r="17" spans="1:67" s="115" customFormat="1" ht="27" x14ac:dyDescent="0.25">
      <c r="A17" s="147"/>
      <c r="B17" s="148"/>
      <c r="C17" s="148"/>
      <c r="D17" s="148"/>
      <c r="E17" s="148"/>
      <c r="F17" s="148"/>
      <c r="G17" s="151">
        <v>4</v>
      </c>
      <c r="H17" s="154" t="s">
        <v>211</v>
      </c>
      <c r="I17" s="251" t="s">
        <v>187</v>
      </c>
      <c r="J17" s="152">
        <v>500</v>
      </c>
      <c r="K17" s="152">
        <v>450</v>
      </c>
      <c r="L17" s="152">
        <v>420</v>
      </c>
      <c r="M17" s="152">
        <v>50</v>
      </c>
      <c r="N17" s="152">
        <f>SUM(P17:AA17)</f>
        <v>0</v>
      </c>
      <c r="O17" s="152">
        <f>+Z17</f>
        <v>0</v>
      </c>
      <c r="P17" s="152">
        <v>0</v>
      </c>
      <c r="Q17" s="152">
        <v>0</v>
      </c>
      <c r="R17" s="152">
        <v>0</v>
      </c>
      <c r="S17" s="152">
        <v>0</v>
      </c>
      <c r="T17" s="152">
        <v>0</v>
      </c>
      <c r="U17" s="152">
        <v>0</v>
      </c>
      <c r="V17" s="152">
        <v>0</v>
      </c>
      <c r="W17" s="152">
        <v>0</v>
      </c>
      <c r="X17" s="152">
        <v>0</v>
      </c>
      <c r="Y17" s="152">
        <v>0</v>
      </c>
      <c r="Z17" s="152">
        <v>0</v>
      </c>
      <c r="AA17" s="152">
        <v>0</v>
      </c>
      <c r="AB17" s="149"/>
      <c r="AC17" s="149"/>
      <c r="AD17" s="149"/>
      <c r="AE17" s="149"/>
      <c r="AF17" s="149"/>
      <c r="AG17" s="149"/>
      <c r="AH17" s="149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3"/>
      <c r="AT17" s="134"/>
      <c r="AU17" s="11"/>
      <c r="AV17" s="156"/>
      <c r="AW17" s="11"/>
      <c r="AX17" s="156"/>
      <c r="AY17" s="11"/>
      <c r="AZ17" s="156"/>
      <c r="BA17" s="11"/>
      <c r="BB17" s="156"/>
    </row>
    <row r="18" spans="1:67" s="115" customFormat="1" ht="27" x14ac:dyDescent="0.25">
      <c r="A18" s="147"/>
      <c r="B18" s="148"/>
      <c r="C18" s="148"/>
      <c r="D18" s="148"/>
      <c r="E18" s="148"/>
      <c r="F18" s="148"/>
      <c r="G18" s="151">
        <v>5</v>
      </c>
      <c r="H18" s="154" t="s">
        <v>212</v>
      </c>
      <c r="I18" s="251" t="s">
        <v>187</v>
      </c>
      <c r="J18" s="152">
        <v>556</v>
      </c>
      <c r="K18" s="152">
        <v>1250</v>
      </c>
      <c r="L18" s="152">
        <v>1250</v>
      </c>
      <c r="M18" s="152">
        <v>533</v>
      </c>
      <c r="N18" s="152">
        <f>SUM(P18:AA18)</f>
        <v>0</v>
      </c>
      <c r="O18" s="152">
        <f>+Z18</f>
        <v>0</v>
      </c>
      <c r="P18" s="152">
        <v>0</v>
      </c>
      <c r="Q18" s="152">
        <v>0</v>
      </c>
      <c r="R18" s="152">
        <v>0</v>
      </c>
      <c r="S18" s="152">
        <v>0</v>
      </c>
      <c r="T18" s="152">
        <v>0</v>
      </c>
      <c r="U18" s="152">
        <v>0</v>
      </c>
      <c r="V18" s="152">
        <v>0</v>
      </c>
      <c r="W18" s="152">
        <v>0</v>
      </c>
      <c r="X18" s="152">
        <v>0</v>
      </c>
      <c r="Y18" s="152">
        <v>0</v>
      </c>
      <c r="Z18" s="152">
        <v>0</v>
      </c>
      <c r="AA18" s="152">
        <v>0</v>
      </c>
      <c r="AB18" s="149"/>
      <c r="AC18" s="149"/>
      <c r="AD18" s="149"/>
      <c r="AE18" s="149"/>
      <c r="AF18" s="149"/>
      <c r="AG18" s="149"/>
      <c r="AH18" s="149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3"/>
      <c r="AT18" s="134"/>
      <c r="AU18" s="11"/>
      <c r="AV18" s="156"/>
      <c r="AW18" s="11"/>
      <c r="AX18" s="156"/>
      <c r="AY18" s="11"/>
      <c r="AZ18" s="156"/>
      <c r="BA18" s="11"/>
      <c r="BB18" s="156"/>
    </row>
    <row r="19" spans="1:67" s="115" customFormat="1" ht="27" x14ac:dyDescent="0.25">
      <c r="A19" s="147"/>
      <c r="B19" s="148"/>
      <c r="C19" s="148"/>
      <c r="D19" s="148"/>
      <c r="E19" s="148"/>
      <c r="F19" s="148"/>
      <c r="G19" s="151">
        <v>7</v>
      </c>
      <c r="H19" s="154" t="s">
        <v>213</v>
      </c>
      <c r="I19" s="251" t="s">
        <v>187</v>
      </c>
      <c r="J19" s="152">
        <v>22708</v>
      </c>
      <c r="K19" s="152">
        <v>11720</v>
      </c>
      <c r="L19" s="152">
        <v>11720</v>
      </c>
      <c r="M19" s="152">
        <v>7679</v>
      </c>
      <c r="N19" s="152">
        <f>4948+O19</f>
        <v>5434</v>
      </c>
      <c r="O19" s="152">
        <f>+Z19</f>
        <v>486</v>
      </c>
      <c r="P19" s="152">
        <v>0</v>
      </c>
      <c r="Q19" s="152">
        <v>76</v>
      </c>
      <c r="R19" s="152">
        <v>68</v>
      </c>
      <c r="S19" s="152">
        <v>305</v>
      </c>
      <c r="T19" s="152">
        <v>1639</v>
      </c>
      <c r="U19" s="152">
        <v>0</v>
      </c>
      <c r="V19" s="152">
        <v>0</v>
      </c>
      <c r="W19" s="152">
        <v>1474</v>
      </c>
      <c r="X19" s="152">
        <v>0</v>
      </c>
      <c r="Y19" s="152">
        <v>958</v>
      </c>
      <c r="Z19" s="152">
        <v>486</v>
      </c>
      <c r="AA19" s="152">
        <v>0</v>
      </c>
      <c r="AB19" s="149"/>
      <c r="AC19" s="149"/>
      <c r="AD19" s="149"/>
      <c r="AE19" s="149"/>
      <c r="AF19" s="149"/>
      <c r="AG19" s="149"/>
      <c r="AH19" s="149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3"/>
      <c r="AT19" s="134"/>
      <c r="AU19" s="11"/>
      <c r="AV19" s="156"/>
      <c r="AW19" s="11"/>
      <c r="AX19" s="156"/>
      <c r="AY19" s="11"/>
      <c r="AZ19" s="156"/>
      <c r="BA19" s="11"/>
      <c r="BB19" s="156"/>
    </row>
    <row r="20" spans="1:67" s="115" customFormat="1" ht="30" x14ac:dyDescent="0.25">
      <c r="A20" s="4"/>
      <c r="B20" s="5">
        <v>94</v>
      </c>
      <c r="C20" s="5"/>
      <c r="D20" s="5"/>
      <c r="E20" s="5"/>
      <c r="F20" s="5"/>
      <c r="G20" s="5"/>
      <c r="H20" s="54" t="s">
        <v>231</v>
      </c>
      <c r="I20" s="254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10"/>
      <c r="AT20"/>
      <c r="AU20" s="58"/>
      <c r="AV20" s="58"/>
      <c r="AW20" s="58"/>
      <c r="AX20" s="58"/>
      <c r="AY20" s="58"/>
      <c r="AZ20" s="58"/>
      <c r="BA20" s="58"/>
      <c r="BB20" s="58"/>
      <c r="BC20"/>
      <c r="BD20"/>
      <c r="BE20"/>
      <c r="BF20"/>
      <c r="BG20"/>
      <c r="BH20"/>
      <c r="BI20"/>
      <c r="BJ20"/>
      <c r="BK20"/>
      <c r="BL20"/>
      <c r="BM20"/>
      <c r="BN20"/>
      <c r="BO20"/>
    </row>
    <row r="21" spans="1:67" ht="45" x14ac:dyDescent="0.25">
      <c r="A21" s="4"/>
      <c r="B21" s="5"/>
      <c r="C21" s="5"/>
      <c r="D21" s="5"/>
      <c r="E21" s="5">
        <v>1</v>
      </c>
      <c r="F21" s="5"/>
      <c r="G21" s="5"/>
      <c r="H21" s="54" t="s">
        <v>233</v>
      </c>
      <c r="I21" s="254" t="s">
        <v>64</v>
      </c>
      <c r="J21" s="9"/>
      <c r="K21" s="9"/>
      <c r="L21" s="9">
        <f>+L22</f>
        <v>0</v>
      </c>
      <c r="M21" s="9">
        <v>367</v>
      </c>
      <c r="N21" s="9">
        <f>+N22</f>
        <v>86</v>
      </c>
      <c r="O21" s="9">
        <f>+Z21</f>
        <v>86</v>
      </c>
      <c r="P21" s="9"/>
      <c r="Q21" s="9"/>
      <c r="R21" s="9"/>
      <c r="S21" s="9"/>
      <c r="T21" s="9"/>
      <c r="U21" s="9"/>
      <c r="V21" s="9"/>
      <c r="W21" s="9"/>
      <c r="X21" s="9"/>
      <c r="Y21" s="9">
        <f>+Y22</f>
        <v>0</v>
      </c>
      <c r="Z21" s="9">
        <v>86</v>
      </c>
      <c r="AA21" s="9"/>
      <c r="AB21" s="9"/>
      <c r="AC21" s="9"/>
      <c r="AD21" s="9">
        <v>0</v>
      </c>
      <c r="AE21" s="9">
        <v>15554000</v>
      </c>
      <c r="AF21" s="9">
        <f>+AG21</f>
        <v>4643100</v>
      </c>
      <c r="AG21" s="9">
        <f>+AR21</f>
        <v>4643100</v>
      </c>
      <c r="AH21" s="11"/>
      <c r="AI21" s="11"/>
      <c r="AJ21" s="11"/>
      <c r="AK21" s="11"/>
      <c r="AL21" s="11"/>
      <c r="AM21" s="11"/>
      <c r="AN21" s="11"/>
      <c r="AO21" s="11"/>
      <c r="AP21" s="11">
        <v>0</v>
      </c>
      <c r="AQ21" s="11">
        <v>0</v>
      </c>
      <c r="AR21" s="58">
        <v>4643100</v>
      </c>
      <c r="AS21" s="257"/>
      <c r="AU21" s="212"/>
      <c r="AV21" s="212"/>
      <c r="AW21" s="212"/>
      <c r="AX21" s="212"/>
      <c r="AY21" s="212"/>
      <c r="AZ21" s="212"/>
      <c r="BA21" s="212"/>
      <c r="BB21" s="212"/>
    </row>
    <row r="22" spans="1:67" ht="41.25" thickBot="1" x14ac:dyDescent="0.3">
      <c r="A22" s="105"/>
      <c r="B22" s="113"/>
      <c r="C22" s="113"/>
      <c r="D22" s="113"/>
      <c r="E22" s="113"/>
      <c r="F22" s="113"/>
      <c r="G22" s="63">
        <v>3</v>
      </c>
      <c r="H22" s="106" t="s">
        <v>264</v>
      </c>
      <c r="I22" s="258" t="s">
        <v>187</v>
      </c>
      <c r="J22" s="15">
        <v>35444</v>
      </c>
      <c r="K22" s="15">
        <v>10406</v>
      </c>
      <c r="L22" s="15">
        <v>0</v>
      </c>
      <c r="M22" s="15">
        <v>367</v>
      </c>
      <c r="N22" s="15">
        <f>+SUM(P22:AA22)</f>
        <v>86</v>
      </c>
      <c r="O22" s="15">
        <f>+Z22</f>
        <v>86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86</v>
      </c>
      <c r="AA22" s="15">
        <v>0</v>
      </c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259"/>
      <c r="AS22" s="260"/>
      <c r="AU22" s="212"/>
      <c r="AV22" s="212"/>
      <c r="AW22" s="212"/>
      <c r="AX22" s="212"/>
      <c r="AY22" s="212"/>
      <c r="AZ22" s="212"/>
      <c r="BA22" s="212"/>
      <c r="BB22" s="212"/>
    </row>
    <row r="25" spans="1:67" x14ac:dyDescent="0.25">
      <c r="H25" s="158" t="s">
        <v>216</v>
      </c>
      <c r="J25">
        <f>86+7</f>
        <v>93</v>
      </c>
    </row>
    <row r="26" spans="1:67" x14ac:dyDescent="0.25">
      <c r="H26" s="158" t="s">
        <v>215</v>
      </c>
    </row>
    <row r="29" spans="1:67" ht="21" x14ac:dyDescent="0.35">
      <c r="H29" s="159" t="s">
        <v>229</v>
      </c>
    </row>
    <row r="30" spans="1:67" ht="21" x14ac:dyDescent="0.35">
      <c r="H30" s="159" t="s">
        <v>230</v>
      </c>
    </row>
  </sheetData>
  <mergeCells count="7">
    <mergeCell ref="AW5:AX5"/>
    <mergeCell ref="AY5:AZ5"/>
    <mergeCell ref="BA5:BB5"/>
    <mergeCell ref="A5:I5"/>
    <mergeCell ref="AU5:AV5"/>
    <mergeCell ref="J5:AA5"/>
    <mergeCell ref="AB5:AS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9" tint="0.39997558519241921"/>
  </sheetPr>
  <dimension ref="A1:BB35"/>
  <sheetViews>
    <sheetView zoomScale="85" zoomScaleNormal="85" workbookViewId="0">
      <pane xSplit="14" ySplit="6" topLeftCell="O7" activePane="bottomRight" state="frozen"/>
      <selection pane="topRight" activeCell="O1" sqref="O1"/>
      <selection pane="bottomLeft" activeCell="A7" sqref="A7"/>
      <selection pane="bottomRight" activeCell="H18" sqref="H18"/>
    </sheetView>
  </sheetViews>
  <sheetFormatPr baseColWidth="10" defaultRowHeight="15" x14ac:dyDescent="0.25"/>
  <cols>
    <col min="1" max="7" width="3.7109375" customWidth="1"/>
    <col min="8" max="8" width="43.85546875" customWidth="1"/>
    <col min="9" max="9" width="11.7109375" customWidth="1"/>
    <col min="10" max="11" width="10.7109375" hidden="1" customWidth="1"/>
    <col min="12" max="13" width="10.7109375" customWidth="1"/>
    <col min="14" max="15" width="13.7109375" customWidth="1"/>
    <col min="16" max="27" width="13.7109375" hidden="1" customWidth="1"/>
    <col min="28" max="29" width="13.7109375" customWidth="1"/>
    <col min="30" max="30" width="14" bestFit="1" customWidth="1"/>
    <col min="31" max="31" width="15.5703125" bestFit="1" customWidth="1"/>
    <col min="32" max="32" width="14" bestFit="1" customWidth="1"/>
    <col min="33" max="33" width="15.85546875" customWidth="1"/>
    <col min="34" max="41" width="13.7109375" hidden="1" customWidth="1"/>
    <col min="42" max="42" width="14.28515625" hidden="1" customWidth="1"/>
    <col min="43" max="45" width="13.7109375" hidden="1" customWidth="1"/>
    <col min="47" max="47" width="10.7109375" customWidth="1"/>
    <col min="48" max="48" width="16.7109375" customWidth="1"/>
    <col min="49" max="49" width="10.7109375" customWidth="1"/>
    <col min="50" max="50" width="16.7109375" customWidth="1"/>
    <col min="51" max="51" width="10.7109375" customWidth="1"/>
    <col min="52" max="52" width="16.7109375" customWidth="1"/>
    <col min="53" max="53" width="10.7109375" customWidth="1"/>
    <col min="54" max="54" width="16.7109375" customWidth="1"/>
  </cols>
  <sheetData>
    <row r="1" spans="1:54" ht="15" customHeight="1" x14ac:dyDescent="0.25">
      <c r="A1" s="32" t="s">
        <v>49</v>
      </c>
    </row>
    <row r="2" spans="1:54" ht="15" customHeight="1" x14ac:dyDescent="0.25">
      <c r="A2" s="32" t="s">
        <v>50</v>
      </c>
    </row>
    <row r="3" spans="1:54" ht="15" customHeight="1" x14ac:dyDescent="0.25">
      <c r="A3" s="32" t="s">
        <v>265</v>
      </c>
    </row>
    <row r="4" spans="1:54" ht="15" customHeight="1" thickBot="1" x14ac:dyDescent="0.3"/>
    <row r="5" spans="1:54" s="52" customFormat="1" ht="15" customHeight="1" x14ac:dyDescent="0.2">
      <c r="A5" s="328" t="s">
        <v>57</v>
      </c>
      <c r="B5" s="329"/>
      <c r="C5" s="329"/>
      <c r="D5" s="329"/>
      <c r="E5" s="329"/>
      <c r="F5" s="329"/>
      <c r="G5" s="329"/>
      <c r="H5" s="329"/>
      <c r="I5" s="329"/>
      <c r="J5" s="330" t="s">
        <v>1</v>
      </c>
      <c r="K5" s="330"/>
      <c r="L5" s="330"/>
      <c r="M5" s="330"/>
      <c r="N5" s="330"/>
      <c r="O5" s="330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30" t="s">
        <v>2</v>
      </c>
      <c r="AC5" s="330"/>
      <c r="AD5" s="330"/>
      <c r="AE5" s="330"/>
      <c r="AF5" s="330"/>
      <c r="AG5" s="330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40"/>
      <c r="AU5" s="327" t="s">
        <v>51</v>
      </c>
      <c r="AV5" s="327"/>
      <c r="AW5" s="327" t="s">
        <v>52</v>
      </c>
      <c r="AX5" s="327"/>
      <c r="AY5" s="327" t="s">
        <v>53</v>
      </c>
      <c r="AZ5" s="327"/>
      <c r="BA5" s="327" t="s">
        <v>55</v>
      </c>
      <c r="BB5" s="327"/>
    </row>
    <row r="6" spans="1:54" s="7" customFormat="1" ht="36" x14ac:dyDescent="0.2">
      <c r="A6" s="255" t="s">
        <v>3</v>
      </c>
      <c r="B6" s="246" t="s">
        <v>4</v>
      </c>
      <c r="C6" s="246" t="s">
        <v>5</v>
      </c>
      <c r="D6" s="246" t="s">
        <v>6</v>
      </c>
      <c r="E6" s="246" t="s">
        <v>7</v>
      </c>
      <c r="F6" s="246" t="s">
        <v>8</v>
      </c>
      <c r="G6" s="246" t="s">
        <v>9</v>
      </c>
      <c r="H6" s="247" t="s">
        <v>10</v>
      </c>
      <c r="I6" s="248" t="s">
        <v>11</v>
      </c>
      <c r="J6" s="249" t="s">
        <v>12</v>
      </c>
      <c r="K6" s="249" t="s">
        <v>65</v>
      </c>
      <c r="L6" s="249" t="s">
        <v>13</v>
      </c>
      <c r="M6" s="249" t="s">
        <v>14</v>
      </c>
      <c r="N6" s="250" t="s">
        <v>15</v>
      </c>
      <c r="O6" s="250" t="s">
        <v>16</v>
      </c>
      <c r="P6" s="250" t="s">
        <v>17</v>
      </c>
      <c r="Q6" s="250" t="s">
        <v>18</v>
      </c>
      <c r="R6" s="250" t="s">
        <v>19</v>
      </c>
      <c r="S6" s="250" t="s">
        <v>20</v>
      </c>
      <c r="T6" s="250" t="s">
        <v>21</v>
      </c>
      <c r="U6" s="250" t="s">
        <v>22</v>
      </c>
      <c r="V6" s="250" t="s">
        <v>23</v>
      </c>
      <c r="W6" s="250" t="s">
        <v>24</v>
      </c>
      <c r="X6" s="250" t="s">
        <v>25</v>
      </c>
      <c r="Y6" s="250" t="s">
        <v>26</v>
      </c>
      <c r="Z6" s="250" t="s">
        <v>27</v>
      </c>
      <c r="AA6" s="250" t="s">
        <v>28</v>
      </c>
      <c r="AB6" s="249" t="s">
        <v>12</v>
      </c>
      <c r="AC6" s="249" t="s">
        <v>66</v>
      </c>
      <c r="AD6" s="249" t="s">
        <v>13</v>
      </c>
      <c r="AE6" s="249" t="s">
        <v>14</v>
      </c>
      <c r="AF6" s="250" t="s">
        <v>15</v>
      </c>
      <c r="AG6" s="250" t="s">
        <v>16</v>
      </c>
      <c r="AH6" s="250" t="s">
        <v>17</v>
      </c>
      <c r="AI6" s="250" t="s">
        <v>18</v>
      </c>
      <c r="AJ6" s="250" t="s">
        <v>19</v>
      </c>
      <c r="AK6" s="250" t="s">
        <v>20</v>
      </c>
      <c r="AL6" s="250" t="s">
        <v>21</v>
      </c>
      <c r="AM6" s="250" t="s">
        <v>22</v>
      </c>
      <c r="AN6" s="250" t="s">
        <v>23</v>
      </c>
      <c r="AO6" s="250" t="s">
        <v>24</v>
      </c>
      <c r="AP6" s="250" t="s">
        <v>25</v>
      </c>
      <c r="AQ6" s="250" t="s">
        <v>26</v>
      </c>
      <c r="AR6" s="250" t="s">
        <v>27</v>
      </c>
      <c r="AS6" s="256" t="s">
        <v>28</v>
      </c>
      <c r="AU6" s="70" t="s">
        <v>54</v>
      </c>
      <c r="AV6" s="70" t="s">
        <v>2</v>
      </c>
      <c r="AW6" s="70" t="s">
        <v>54</v>
      </c>
      <c r="AX6" s="70" t="s">
        <v>2</v>
      </c>
      <c r="AY6" s="70" t="s">
        <v>54</v>
      </c>
      <c r="AZ6" s="70" t="s">
        <v>2</v>
      </c>
      <c r="BA6" s="70" t="s">
        <v>54</v>
      </c>
      <c r="BB6" s="70" t="s">
        <v>2</v>
      </c>
    </row>
    <row r="7" spans="1:54" s="52" customFormat="1" ht="30" x14ac:dyDescent="0.2">
      <c r="A7" s="4"/>
      <c r="B7" s="5">
        <v>11</v>
      </c>
      <c r="C7" s="5"/>
      <c r="D7" s="5"/>
      <c r="E7" s="5"/>
      <c r="F7" s="5"/>
      <c r="G7" s="5"/>
      <c r="H7" s="54" t="s">
        <v>58</v>
      </c>
      <c r="I7" s="254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66"/>
      <c r="AU7" s="71"/>
      <c r="AV7" s="72"/>
      <c r="AW7" s="34"/>
      <c r="AX7" s="34"/>
      <c r="AY7" s="34"/>
      <c r="AZ7" s="34"/>
      <c r="BA7" s="34"/>
      <c r="BB7" s="34"/>
    </row>
    <row r="8" spans="1:54" s="52" customFormat="1" x14ac:dyDescent="0.2">
      <c r="A8" s="4"/>
      <c r="B8" s="5"/>
      <c r="C8" s="5">
        <v>0</v>
      </c>
      <c r="D8" s="5"/>
      <c r="E8" s="5"/>
      <c r="F8" s="5"/>
      <c r="G8" s="5"/>
      <c r="H8" s="54" t="s">
        <v>30</v>
      </c>
      <c r="I8" s="254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66"/>
      <c r="AU8" s="71"/>
      <c r="AV8" s="72"/>
      <c r="AW8" s="34"/>
      <c r="AX8" s="34"/>
      <c r="AY8" s="34"/>
      <c r="AZ8" s="34"/>
      <c r="BA8" s="34"/>
      <c r="BB8" s="34"/>
    </row>
    <row r="9" spans="1:54" s="52" customFormat="1" x14ac:dyDescent="0.2">
      <c r="A9" s="4"/>
      <c r="B9" s="5"/>
      <c r="C9" s="5"/>
      <c r="D9" s="5">
        <v>0</v>
      </c>
      <c r="E9" s="5"/>
      <c r="F9" s="5"/>
      <c r="G9" s="5"/>
      <c r="H9" s="54" t="s">
        <v>31</v>
      </c>
      <c r="I9" s="254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60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66"/>
      <c r="AU9" s="71"/>
      <c r="AV9" s="72"/>
      <c r="AW9" s="34"/>
      <c r="AX9" s="34"/>
      <c r="AY9" s="34"/>
      <c r="AZ9" s="34"/>
      <c r="BA9" s="34"/>
      <c r="BB9" s="34"/>
    </row>
    <row r="10" spans="1:54" s="52" customFormat="1" x14ac:dyDescent="0.2">
      <c r="A10" s="4"/>
      <c r="B10" s="5"/>
      <c r="C10" s="5"/>
      <c r="D10" s="5"/>
      <c r="E10" s="5">
        <v>1</v>
      </c>
      <c r="F10" s="5">
        <v>0</v>
      </c>
      <c r="G10" s="5"/>
      <c r="H10" s="54" t="s">
        <v>59</v>
      </c>
      <c r="I10" s="254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60"/>
      <c r="AC10" s="60"/>
      <c r="AD10" s="60"/>
      <c r="AE10" s="60"/>
      <c r="AF10" s="60"/>
      <c r="AG10" s="60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66"/>
      <c r="AU10" s="71"/>
      <c r="AV10" s="72"/>
      <c r="AW10" s="34"/>
      <c r="AX10" s="34"/>
      <c r="AY10" s="34"/>
      <c r="AZ10" s="34"/>
      <c r="BA10" s="34"/>
      <c r="BB10" s="34"/>
    </row>
    <row r="11" spans="1:54" s="52" customFormat="1" x14ac:dyDescent="0.25">
      <c r="A11" s="4">
        <v>4</v>
      </c>
      <c r="B11" s="5"/>
      <c r="C11" s="5"/>
      <c r="D11" s="5"/>
      <c r="E11" s="6"/>
      <c r="F11" s="6"/>
      <c r="G11" s="5">
        <v>1</v>
      </c>
      <c r="H11" s="56" t="s">
        <v>60</v>
      </c>
      <c r="I11" s="261" t="s">
        <v>34</v>
      </c>
      <c r="J11" s="60">
        <f t="shared" ref="J11:P11" si="0">J12</f>
        <v>471</v>
      </c>
      <c r="K11" s="60">
        <f>K12</f>
        <v>471</v>
      </c>
      <c r="L11" s="60">
        <f t="shared" si="0"/>
        <v>471</v>
      </c>
      <c r="M11" s="60">
        <f>M12</f>
        <v>568</v>
      </c>
      <c r="N11" s="60">
        <f>N12</f>
        <v>354</v>
      </c>
      <c r="O11" s="60">
        <f>+Z11</f>
        <v>0</v>
      </c>
      <c r="P11" s="59">
        <f t="shared" si="0"/>
        <v>0</v>
      </c>
      <c r="Q11" s="59">
        <f>Q12</f>
        <v>0</v>
      </c>
      <c r="R11" s="59">
        <f t="shared" ref="R11:AA11" si="1">R12</f>
        <v>0</v>
      </c>
      <c r="S11" s="59">
        <f t="shared" si="1"/>
        <v>0</v>
      </c>
      <c r="T11" s="59">
        <f t="shared" si="1"/>
        <v>59</v>
      </c>
      <c r="U11" s="59">
        <f>U12</f>
        <v>59</v>
      </c>
      <c r="V11" s="59">
        <f t="shared" si="1"/>
        <v>59</v>
      </c>
      <c r="W11" s="59">
        <f t="shared" si="1"/>
        <v>59</v>
      </c>
      <c r="X11" s="59">
        <f t="shared" si="1"/>
        <v>59</v>
      </c>
      <c r="Y11" s="59">
        <v>59</v>
      </c>
      <c r="Z11" s="59">
        <f t="shared" si="1"/>
        <v>0</v>
      </c>
      <c r="AA11" s="59">
        <f t="shared" si="1"/>
        <v>0</v>
      </c>
      <c r="AB11" s="60">
        <v>305773291.52333301</v>
      </c>
      <c r="AC11" s="60">
        <v>85426696</v>
      </c>
      <c r="AD11" s="60">
        <v>85426696</v>
      </c>
      <c r="AE11" s="60">
        <v>92507764</v>
      </c>
      <c r="AF11" s="60">
        <f>50203623.89+AR11</f>
        <v>58127577.710000001</v>
      </c>
      <c r="AG11" s="60">
        <f>+AR11</f>
        <v>7923953.8200000003</v>
      </c>
      <c r="AH11" s="311">
        <v>3526692.01</v>
      </c>
      <c r="AI11" s="311">
        <v>4233576.7699999996</v>
      </c>
      <c r="AJ11" s="311">
        <v>7082649.4400000004</v>
      </c>
      <c r="AK11" s="311">
        <v>4220608.1500000004</v>
      </c>
      <c r="AL11" s="311">
        <v>4773100.4400000004</v>
      </c>
      <c r="AM11" s="311">
        <v>1569322.91</v>
      </c>
      <c r="AN11" s="311">
        <v>7947642.54</v>
      </c>
      <c r="AO11" s="59">
        <v>1367120.28</v>
      </c>
      <c r="AP11" s="59">
        <v>4622413.4000000004</v>
      </c>
      <c r="AQ11" s="59">
        <v>3475052.94</v>
      </c>
      <c r="AR11" s="58">
        <v>7923953.8200000003</v>
      </c>
      <c r="AS11" s="66">
        <v>0</v>
      </c>
      <c r="AU11" s="73">
        <f>+AU12</f>
        <v>471</v>
      </c>
      <c r="AV11" s="74">
        <f>+AV12</f>
        <v>107079133</v>
      </c>
      <c r="AW11" s="73">
        <f t="shared" ref="AW11:BB11" si="2">+AW12</f>
        <v>471</v>
      </c>
      <c r="AX11" s="74">
        <f t="shared" si="2"/>
        <v>107079133</v>
      </c>
      <c r="AY11" s="73">
        <f t="shared" si="2"/>
        <v>471</v>
      </c>
      <c r="AZ11" s="74">
        <f t="shared" si="2"/>
        <v>107079133</v>
      </c>
      <c r="BA11" s="73">
        <f t="shared" si="2"/>
        <v>471</v>
      </c>
      <c r="BB11" s="74">
        <f t="shared" si="2"/>
        <v>107079133</v>
      </c>
    </row>
    <row r="12" spans="1:54" s="52" customFormat="1" x14ac:dyDescent="0.2">
      <c r="A12" s="4"/>
      <c r="B12" s="5"/>
      <c r="C12" s="5"/>
      <c r="D12" s="5"/>
      <c r="E12" s="6"/>
      <c r="F12" s="6"/>
      <c r="G12" s="6">
        <v>9</v>
      </c>
      <c r="H12" s="57" t="s">
        <v>60</v>
      </c>
      <c r="I12" s="262" t="s">
        <v>34</v>
      </c>
      <c r="J12" s="59">
        <v>471</v>
      </c>
      <c r="K12" s="59">
        <v>471</v>
      </c>
      <c r="L12" s="59">
        <v>471</v>
      </c>
      <c r="M12" s="59">
        <v>568</v>
      </c>
      <c r="N12" s="59">
        <f>SUM(P12:Y12)</f>
        <v>354</v>
      </c>
      <c r="O12" s="60">
        <f>+Z12</f>
        <v>0</v>
      </c>
      <c r="P12" s="59">
        <v>0</v>
      </c>
      <c r="Q12" s="59">
        <v>0</v>
      </c>
      <c r="R12" s="59">
        <v>0</v>
      </c>
      <c r="S12" s="59">
        <v>0</v>
      </c>
      <c r="T12" s="59">
        <v>59</v>
      </c>
      <c r="U12" s="59">
        <v>59</v>
      </c>
      <c r="V12" s="59">
        <v>59</v>
      </c>
      <c r="W12" s="59">
        <v>59</v>
      </c>
      <c r="X12" s="59">
        <v>59</v>
      </c>
      <c r="Y12" s="59">
        <v>59</v>
      </c>
      <c r="Z12" s="59">
        <v>0</v>
      </c>
      <c r="AA12" s="59">
        <v>0</v>
      </c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66"/>
      <c r="AU12" s="75">
        <v>471</v>
      </c>
      <c r="AV12" s="76">
        <v>107079133</v>
      </c>
      <c r="AW12" s="75">
        <v>471</v>
      </c>
      <c r="AX12" s="76">
        <v>107079133</v>
      </c>
      <c r="AY12" s="75">
        <v>471</v>
      </c>
      <c r="AZ12" s="76">
        <v>107079133</v>
      </c>
      <c r="BA12" s="75">
        <v>471</v>
      </c>
      <c r="BB12" s="76">
        <v>107079133</v>
      </c>
    </row>
    <row r="13" spans="1:54" s="52" customFormat="1" x14ac:dyDescent="0.2">
      <c r="A13" s="4"/>
      <c r="B13" s="5"/>
      <c r="C13" s="5"/>
      <c r="D13" s="5"/>
      <c r="E13" s="5">
        <v>2</v>
      </c>
      <c r="F13" s="5">
        <v>0</v>
      </c>
      <c r="G13" s="5"/>
      <c r="H13" s="56" t="s">
        <v>61</v>
      </c>
      <c r="I13" s="261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66"/>
      <c r="AU13" s="73"/>
      <c r="AV13" s="74"/>
      <c r="AW13" s="73"/>
      <c r="AX13" s="74"/>
      <c r="AY13" s="73"/>
      <c r="AZ13" s="74"/>
      <c r="BA13" s="73"/>
      <c r="BB13" s="74"/>
    </row>
    <row r="14" spans="1:54" s="52" customFormat="1" x14ac:dyDescent="0.25">
      <c r="A14" s="4">
        <v>4</v>
      </c>
      <c r="B14" s="5"/>
      <c r="C14" s="5"/>
      <c r="D14" s="5"/>
      <c r="E14" s="6"/>
      <c r="F14" s="6"/>
      <c r="G14" s="5">
        <v>1</v>
      </c>
      <c r="H14" s="56" t="s">
        <v>62</v>
      </c>
      <c r="I14" s="261" t="s">
        <v>63</v>
      </c>
      <c r="J14" s="60">
        <f>J15</f>
        <v>1906</v>
      </c>
      <c r="K14" s="60">
        <f>K15</f>
        <v>2391</v>
      </c>
      <c r="L14" s="60">
        <f>L15</f>
        <v>2357</v>
      </c>
      <c r="M14" s="60">
        <f>+M15</f>
        <v>2397</v>
      </c>
      <c r="N14" s="60">
        <f>N15</f>
        <v>1666</v>
      </c>
      <c r="O14" s="60">
        <f>+Z14</f>
        <v>92</v>
      </c>
      <c r="P14" s="59">
        <f>P15</f>
        <v>0</v>
      </c>
      <c r="Q14" s="59">
        <f>Q15</f>
        <v>201</v>
      </c>
      <c r="R14" s="59">
        <f t="shared" ref="R14:AA14" si="3">R15</f>
        <v>210</v>
      </c>
      <c r="S14" s="59">
        <f t="shared" si="3"/>
        <v>185</v>
      </c>
      <c r="T14" s="59">
        <f t="shared" si="3"/>
        <v>201</v>
      </c>
      <c r="U14" s="59">
        <f t="shared" si="3"/>
        <v>166</v>
      </c>
      <c r="V14" s="59">
        <f t="shared" si="3"/>
        <v>194</v>
      </c>
      <c r="W14" s="59">
        <f t="shared" si="3"/>
        <v>174</v>
      </c>
      <c r="X14" s="59">
        <f t="shared" si="3"/>
        <v>133</v>
      </c>
      <c r="Y14" s="59">
        <v>110</v>
      </c>
      <c r="Z14" s="59">
        <f t="shared" si="3"/>
        <v>92</v>
      </c>
      <c r="AA14" s="59">
        <f t="shared" si="3"/>
        <v>0</v>
      </c>
      <c r="AB14" s="60">
        <v>214504255.62</v>
      </c>
      <c r="AC14" s="60">
        <v>140723304</v>
      </c>
      <c r="AD14" s="60">
        <v>140723304</v>
      </c>
      <c r="AE14" s="60">
        <v>218417808</v>
      </c>
      <c r="AF14" s="60">
        <f>164273018.59+AR14</f>
        <v>181884560.58000001</v>
      </c>
      <c r="AG14" s="60">
        <f>+AR14</f>
        <v>17611541.989999998</v>
      </c>
      <c r="AH14" s="311">
        <v>8770665.75</v>
      </c>
      <c r="AI14" s="311">
        <v>9409885.8100000005</v>
      </c>
      <c r="AJ14" s="311">
        <v>11543122.52</v>
      </c>
      <c r="AK14" s="311">
        <v>9471729.6099999994</v>
      </c>
      <c r="AL14" s="311">
        <v>1402892.66</v>
      </c>
      <c r="AM14" s="311">
        <v>1402892.66</v>
      </c>
      <c r="AN14" s="311">
        <v>10486922.27</v>
      </c>
      <c r="AO14" s="59">
        <v>450652.42</v>
      </c>
      <c r="AP14" s="59">
        <v>69028853.319999993</v>
      </c>
      <c r="AQ14" s="212">
        <v>11455246.130000001</v>
      </c>
      <c r="AR14" s="59">
        <v>17611541.989999998</v>
      </c>
      <c r="AS14" s="66">
        <v>0</v>
      </c>
      <c r="AU14" s="73">
        <f>+AU15</f>
        <v>1906</v>
      </c>
      <c r="AV14" s="74">
        <f>+AV15</f>
        <v>214504255.62</v>
      </c>
      <c r="AW14" s="73">
        <f t="shared" ref="AW14:BB14" si="4">+AW15</f>
        <v>1906</v>
      </c>
      <c r="AX14" s="74">
        <f t="shared" si="4"/>
        <v>214504255.62</v>
      </c>
      <c r="AY14" s="73">
        <f t="shared" si="4"/>
        <v>1906</v>
      </c>
      <c r="AZ14" s="74">
        <f t="shared" si="4"/>
        <v>214504255.62</v>
      </c>
      <c r="BA14" s="73">
        <f t="shared" si="4"/>
        <v>1906</v>
      </c>
      <c r="BB14" s="74">
        <f t="shared" si="4"/>
        <v>214504255.62</v>
      </c>
    </row>
    <row r="15" spans="1:54" s="52" customFormat="1" x14ac:dyDescent="0.25">
      <c r="A15" s="4"/>
      <c r="B15" s="6"/>
      <c r="C15" s="6"/>
      <c r="D15" s="6"/>
      <c r="E15" s="6"/>
      <c r="F15" s="6"/>
      <c r="G15" s="6">
        <v>5</v>
      </c>
      <c r="H15" s="114" t="s">
        <v>62</v>
      </c>
      <c r="I15" s="6" t="s">
        <v>63</v>
      </c>
      <c r="J15" s="59">
        <v>1906</v>
      </c>
      <c r="K15" s="59">
        <v>2391</v>
      </c>
      <c r="L15" s="59">
        <v>2357</v>
      </c>
      <c r="M15" s="59">
        <v>2397</v>
      </c>
      <c r="N15" s="59">
        <f>+SUM(P15:AA15)</f>
        <v>1666</v>
      </c>
      <c r="O15" s="60">
        <f>+Z15</f>
        <v>92</v>
      </c>
      <c r="P15" s="59">
        <v>0</v>
      </c>
      <c r="Q15" s="59">
        <v>201</v>
      </c>
      <c r="R15" s="59">
        <v>210</v>
      </c>
      <c r="S15" s="59">
        <v>185</v>
      </c>
      <c r="T15" s="59">
        <v>201</v>
      </c>
      <c r="U15" s="59">
        <v>166</v>
      </c>
      <c r="V15" s="59">
        <v>194</v>
      </c>
      <c r="W15" s="59">
        <v>174</v>
      </c>
      <c r="X15" s="59">
        <v>133</v>
      </c>
      <c r="Y15" s="59">
        <v>110</v>
      </c>
      <c r="Z15" s="59">
        <v>92</v>
      </c>
      <c r="AA15" s="59">
        <v>0</v>
      </c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66"/>
      <c r="AU15" s="77">
        <v>1906</v>
      </c>
      <c r="AV15" s="78">
        <v>214504255.62</v>
      </c>
      <c r="AW15" s="77">
        <v>1906</v>
      </c>
      <c r="AX15" s="78">
        <v>214504255.62</v>
      </c>
      <c r="AY15" s="77">
        <v>1906</v>
      </c>
      <c r="AZ15" s="78">
        <v>214504255.62</v>
      </c>
      <c r="BA15" s="77">
        <v>1906</v>
      </c>
      <c r="BB15" s="78">
        <v>214504255.62</v>
      </c>
    </row>
    <row r="16" spans="1:54" s="52" customFormat="1" ht="45" x14ac:dyDescent="0.25">
      <c r="A16" s="4"/>
      <c r="B16" s="6"/>
      <c r="C16" s="5">
        <v>3</v>
      </c>
      <c r="D16" s="6"/>
      <c r="E16" s="6"/>
      <c r="F16" s="6"/>
      <c r="G16" s="6"/>
      <c r="H16" s="54" t="s">
        <v>235</v>
      </c>
      <c r="I16" s="6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66"/>
      <c r="AU16" s="77"/>
      <c r="AV16" s="78"/>
      <c r="AW16" s="77"/>
      <c r="AX16" s="78"/>
      <c r="AY16" s="77"/>
      <c r="AZ16" s="78"/>
      <c r="BA16" s="77"/>
      <c r="BB16" s="78"/>
    </row>
    <row r="17" spans="1:54" s="52" customFormat="1" x14ac:dyDescent="0.25">
      <c r="A17" s="4"/>
      <c r="B17" s="6"/>
      <c r="C17" s="6"/>
      <c r="D17" s="5">
        <v>0</v>
      </c>
      <c r="E17" s="5"/>
      <c r="F17" s="5"/>
      <c r="G17" s="5"/>
      <c r="H17" s="54" t="s">
        <v>31</v>
      </c>
      <c r="I17" s="6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66"/>
      <c r="AU17" s="77"/>
      <c r="AV17" s="78"/>
      <c r="AW17" s="77"/>
      <c r="AX17" s="78"/>
      <c r="AY17" s="77"/>
      <c r="AZ17" s="78"/>
      <c r="BA17" s="77"/>
      <c r="BB17" s="78"/>
    </row>
    <row r="18" spans="1:54" s="52" customFormat="1" ht="30" x14ac:dyDescent="0.25">
      <c r="A18" s="4"/>
      <c r="B18" s="6"/>
      <c r="C18" s="6"/>
      <c r="D18" s="6"/>
      <c r="E18" s="5">
        <v>1</v>
      </c>
      <c r="F18" s="5">
        <v>0</v>
      </c>
      <c r="G18" s="5"/>
      <c r="H18" s="54" t="s">
        <v>236</v>
      </c>
      <c r="I18" s="6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66"/>
      <c r="AU18" s="77"/>
      <c r="AV18" s="78"/>
      <c r="AW18" s="77"/>
      <c r="AX18" s="78"/>
      <c r="AY18" s="77"/>
      <c r="AZ18" s="78"/>
      <c r="BA18" s="77"/>
      <c r="BB18" s="78"/>
    </row>
    <row r="19" spans="1:54" s="52" customFormat="1" ht="30" x14ac:dyDescent="0.25">
      <c r="A19" s="4"/>
      <c r="B19" s="6"/>
      <c r="C19" s="6"/>
      <c r="D19" s="6"/>
      <c r="E19" s="6"/>
      <c r="F19" s="6"/>
      <c r="G19" s="5">
        <v>1</v>
      </c>
      <c r="H19" s="54" t="s">
        <v>241</v>
      </c>
      <c r="I19" s="261" t="s">
        <v>63</v>
      </c>
      <c r="J19" s="60">
        <v>0</v>
      </c>
      <c r="K19" s="60">
        <v>0</v>
      </c>
      <c r="L19" s="60">
        <v>0</v>
      </c>
      <c r="M19" s="60">
        <f>M20</f>
        <v>155</v>
      </c>
      <c r="N19" s="60">
        <f>N20</f>
        <v>74</v>
      </c>
      <c r="O19" s="60">
        <f>+Z19</f>
        <v>74</v>
      </c>
      <c r="P19" s="59">
        <f>P20</f>
        <v>0</v>
      </c>
      <c r="Q19" s="59">
        <f>Q20</f>
        <v>0</v>
      </c>
      <c r="R19" s="59">
        <f t="shared" ref="R19:AA19" si="5">R20</f>
        <v>0</v>
      </c>
      <c r="S19" s="59">
        <f t="shared" si="5"/>
        <v>0</v>
      </c>
      <c r="T19" s="59">
        <f t="shared" si="5"/>
        <v>0</v>
      </c>
      <c r="U19" s="59">
        <f t="shared" si="5"/>
        <v>0</v>
      </c>
      <c r="V19" s="59">
        <f>V20</f>
        <v>0</v>
      </c>
      <c r="W19" s="59">
        <f t="shared" si="5"/>
        <v>0</v>
      </c>
      <c r="X19" s="59">
        <f t="shared" si="5"/>
        <v>0</v>
      </c>
      <c r="Y19" s="59">
        <f t="shared" si="5"/>
        <v>0</v>
      </c>
      <c r="Z19" s="59">
        <f t="shared" si="5"/>
        <v>74</v>
      </c>
      <c r="AA19" s="59">
        <f t="shared" si="5"/>
        <v>0</v>
      </c>
      <c r="AB19" s="60">
        <v>0</v>
      </c>
      <c r="AC19" s="60">
        <v>0</v>
      </c>
      <c r="AD19" s="60">
        <v>0</v>
      </c>
      <c r="AE19" s="128">
        <v>517246754.30000001</v>
      </c>
      <c r="AF19" s="60">
        <f>+SUM(AH19:AS19)</f>
        <v>376496123.74000001</v>
      </c>
      <c r="AG19" s="60">
        <f>+AR19</f>
        <v>184753192.65000001</v>
      </c>
      <c r="AH19" s="59">
        <v>0</v>
      </c>
      <c r="AI19" s="59">
        <v>0</v>
      </c>
      <c r="AJ19" s="59">
        <v>0</v>
      </c>
      <c r="AK19" s="59">
        <v>0</v>
      </c>
      <c r="AL19" s="59">
        <v>0</v>
      </c>
      <c r="AM19" s="59"/>
      <c r="AN19" s="59">
        <v>0</v>
      </c>
      <c r="AO19" s="59"/>
      <c r="AP19" s="59"/>
      <c r="AQ19" s="59">
        <v>191742931.09</v>
      </c>
      <c r="AR19" s="59">
        <v>184753192.65000001</v>
      </c>
      <c r="AS19" s="66"/>
      <c r="AU19" s="77"/>
      <c r="AV19" s="78"/>
      <c r="AW19" s="77"/>
      <c r="AX19" s="78"/>
      <c r="AY19" s="77"/>
      <c r="AZ19" s="78"/>
      <c r="BA19" s="77"/>
      <c r="BB19" s="78"/>
    </row>
    <row r="20" spans="1:54" s="52" customFormat="1" x14ac:dyDescent="0.25">
      <c r="A20" s="4"/>
      <c r="B20" s="6"/>
      <c r="C20" s="6"/>
      <c r="D20" s="6"/>
      <c r="E20" s="6"/>
      <c r="F20" s="6"/>
      <c r="G20" s="6">
        <v>2</v>
      </c>
      <c r="H20" s="114" t="s">
        <v>237</v>
      </c>
      <c r="I20" s="6" t="s">
        <v>63</v>
      </c>
      <c r="J20" s="59">
        <v>0</v>
      </c>
      <c r="K20" s="59">
        <v>0</v>
      </c>
      <c r="L20" s="59">
        <v>0</v>
      </c>
      <c r="M20" s="59">
        <v>155</v>
      </c>
      <c r="N20" s="59">
        <f>+SUM(P20:AA20)</f>
        <v>74</v>
      </c>
      <c r="O20" s="60">
        <f>+Z20</f>
        <v>74</v>
      </c>
      <c r="P20" s="59">
        <v>0</v>
      </c>
      <c r="Q20" s="59">
        <v>0</v>
      </c>
      <c r="R20" s="59">
        <v>0</v>
      </c>
      <c r="S20" s="59">
        <v>0</v>
      </c>
      <c r="T20" s="59">
        <v>0</v>
      </c>
      <c r="U20" s="59">
        <v>0</v>
      </c>
      <c r="V20" s="59">
        <v>0</v>
      </c>
      <c r="W20" s="59">
        <v>0</v>
      </c>
      <c r="X20" s="59">
        <v>0</v>
      </c>
      <c r="Y20" s="59">
        <v>0</v>
      </c>
      <c r="Z20" s="59">
        <v>74</v>
      </c>
      <c r="AA20" s="59">
        <v>0</v>
      </c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66"/>
      <c r="AU20" s="77"/>
      <c r="AV20" s="78"/>
      <c r="AW20" s="77"/>
      <c r="AX20" s="78"/>
      <c r="AY20" s="77"/>
      <c r="AZ20" s="78"/>
      <c r="BA20" s="77"/>
      <c r="BB20" s="78"/>
    </row>
    <row r="21" spans="1:54" s="52" customFormat="1" ht="30" x14ac:dyDescent="0.25">
      <c r="A21" s="4"/>
      <c r="B21" s="6"/>
      <c r="C21" s="6"/>
      <c r="D21" s="6"/>
      <c r="E21" s="5">
        <v>4</v>
      </c>
      <c r="F21" s="5">
        <v>0</v>
      </c>
      <c r="G21" s="5"/>
      <c r="H21" s="54" t="s">
        <v>238</v>
      </c>
      <c r="I21" s="6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66"/>
      <c r="AU21" s="77"/>
      <c r="AV21" s="78"/>
      <c r="AW21" s="77"/>
      <c r="AX21" s="78"/>
      <c r="AY21" s="77"/>
      <c r="AZ21" s="78"/>
      <c r="BA21" s="77"/>
      <c r="BB21" s="78"/>
    </row>
    <row r="22" spans="1:54" s="52" customFormat="1" ht="30" x14ac:dyDescent="0.25">
      <c r="A22" s="4"/>
      <c r="B22" s="6"/>
      <c r="C22" s="6"/>
      <c r="D22" s="6"/>
      <c r="E22" s="6"/>
      <c r="F22" s="6"/>
      <c r="G22" s="5">
        <v>1</v>
      </c>
      <c r="H22" s="54" t="s">
        <v>239</v>
      </c>
      <c r="I22" s="261" t="s">
        <v>34</v>
      </c>
      <c r="J22" s="60">
        <v>0</v>
      </c>
      <c r="K22" s="60">
        <v>0</v>
      </c>
      <c r="L22" s="60">
        <v>0</v>
      </c>
      <c r="M22" s="60">
        <v>1</v>
      </c>
      <c r="N22" s="60">
        <f>N23</f>
        <v>0</v>
      </c>
      <c r="O22" s="60">
        <f>+Z22</f>
        <v>0</v>
      </c>
      <c r="P22" s="59">
        <f>P23</f>
        <v>0</v>
      </c>
      <c r="Q22" s="59">
        <f>Q23</f>
        <v>0</v>
      </c>
      <c r="R22" s="59">
        <f t="shared" ref="R22:AA22" si="6">R23</f>
        <v>0</v>
      </c>
      <c r="S22" s="59">
        <f t="shared" si="6"/>
        <v>0</v>
      </c>
      <c r="T22" s="59">
        <f t="shared" si="6"/>
        <v>0</v>
      </c>
      <c r="U22" s="59">
        <f t="shared" si="6"/>
        <v>0</v>
      </c>
      <c r="V22" s="59">
        <f>V23</f>
        <v>0</v>
      </c>
      <c r="W22" s="59">
        <f t="shared" si="6"/>
        <v>0</v>
      </c>
      <c r="X22" s="59">
        <f t="shared" si="6"/>
        <v>0</v>
      </c>
      <c r="Y22" s="59">
        <f t="shared" si="6"/>
        <v>0</v>
      </c>
      <c r="Z22" s="59">
        <f t="shared" si="6"/>
        <v>0</v>
      </c>
      <c r="AA22" s="59">
        <f t="shared" si="6"/>
        <v>0</v>
      </c>
      <c r="AB22" s="60">
        <v>0</v>
      </c>
      <c r="AC22" s="60">
        <v>0</v>
      </c>
      <c r="AD22" s="60">
        <v>0</v>
      </c>
      <c r="AE22" s="60">
        <v>100000000</v>
      </c>
      <c r="AF22" s="60">
        <f>+SUM(AH22:AS22)</f>
        <v>0</v>
      </c>
      <c r="AG22" s="60">
        <f>+AQ22</f>
        <v>0</v>
      </c>
      <c r="AH22" s="59">
        <v>0</v>
      </c>
      <c r="AI22" s="59">
        <v>0</v>
      </c>
      <c r="AJ22" s="59">
        <v>0</v>
      </c>
      <c r="AK22" s="59">
        <v>0</v>
      </c>
      <c r="AL22" s="59">
        <v>0</v>
      </c>
      <c r="AM22" s="59"/>
      <c r="AN22" s="59">
        <v>0</v>
      </c>
      <c r="AO22" s="59"/>
      <c r="AP22" s="59"/>
      <c r="AQ22" s="59"/>
      <c r="AR22" s="59"/>
      <c r="AS22" s="66"/>
      <c r="AU22" s="77"/>
      <c r="AV22" s="78"/>
      <c r="AW22" s="77"/>
      <c r="AX22" s="78"/>
      <c r="AY22" s="77"/>
      <c r="AZ22" s="78"/>
      <c r="BA22" s="77"/>
      <c r="BB22" s="78"/>
    </row>
    <row r="23" spans="1:54" s="52" customFormat="1" x14ac:dyDescent="0.25">
      <c r="A23" s="4"/>
      <c r="B23" s="6"/>
      <c r="C23" s="6"/>
      <c r="D23" s="6"/>
      <c r="E23" s="6"/>
      <c r="F23" s="6"/>
      <c r="G23" s="6">
        <v>3</v>
      </c>
      <c r="H23" s="114" t="s">
        <v>240</v>
      </c>
      <c r="I23" s="262" t="s">
        <v>34</v>
      </c>
      <c r="J23" s="59">
        <v>0</v>
      </c>
      <c r="K23" s="59">
        <v>0</v>
      </c>
      <c r="L23" s="59">
        <v>0</v>
      </c>
      <c r="M23" s="59">
        <v>1</v>
      </c>
      <c r="N23" s="59">
        <f>+SUM(P23:AA23)</f>
        <v>0</v>
      </c>
      <c r="O23" s="60">
        <f>+Z23</f>
        <v>0</v>
      </c>
      <c r="P23" s="59">
        <v>0</v>
      </c>
      <c r="Q23" s="59">
        <v>0</v>
      </c>
      <c r="R23" s="59">
        <v>0</v>
      </c>
      <c r="S23" s="59">
        <v>0</v>
      </c>
      <c r="T23" s="59">
        <v>0</v>
      </c>
      <c r="U23" s="59">
        <v>0</v>
      </c>
      <c r="V23" s="59">
        <v>0</v>
      </c>
      <c r="W23" s="59">
        <v>0</v>
      </c>
      <c r="X23" s="59">
        <v>0</v>
      </c>
      <c r="Y23" s="59">
        <v>0</v>
      </c>
      <c r="Z23" s="59">
        <v>0</v>
      </c>
      <c r="AA23" s="59">
        <v>0</v>
      </c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66"/>
      <c r="AU23" s="77"/>
      <c r="AV23" s="78"/>
      <c r="AW23" s="77"/>
      <c r="AX23" s="78"/>
      <c r="AY23" s="77"/>
      <c r="AZ23" s="78"/>
      <c r="BA23" s="77"/>
      <c r="BB23" s="78"/>
    </row>
    <row r="24" spans="1:54" s="52" customFormat="1" ht="30" x14ac:dyDescent="0.2">
      <c r="A24" s="4"/>
      <c r="B24" s="5">
        <v>94</v>
      </c>
      <c r="C24" s="5"/>
      <c r="D24" s="5"/>
      <c r="E24" s="5"/>
      <c r="F24" s="5"/>
      <c r="G24" s="5"/>
      <c r="H24" s="54" t="s">
        <v>231</v>
      </c>
      <c r="I24" s="254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66"/>
      <c r="AU24" s="71"/>
      <c r="AV24" s="72"/>
      <c r="AW24" s="34"/>
      <c r="AX24" s="34"/>
      <c r="AY24" s="34"/>
      <c r="AZ24" s="34"/>
      <c r="BA24" s="34"/>
      <c r="BB24" s="34"/>
    </row>
    <row r="25" spans="1:54" s="52" customFormat="1" ht="45" x14ac:dyDescent="0.2">
      <c r="A25" s="4"/>
      <c r="B25" s="5"/>
      <c r="C25" s="5">
        <v>11</v>
      </c>
      <c r="D25" s="5"/>
      <c r="E25" s="5"/>
      <c r="F25" s="5"/>
      <c r="G25" s="5"/>
      <c r="H25" s="54" t="s">
        <v>232</v>
      </c>
      <c r="I25" s="254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66"/>
      <c r="AU25" s="71"/>
      <c r="AV25" s="72"/>
      <c r="AW25" s="34"/>
      <c r="AX25" s="34"/>
      <c r="AY25" s="34"/>
      <c r="AZ25" s="34"/>
      <c r="BA25" s="34"/>
      <c r="BB25" s="34"/>
    </row>
    <row r="26" spans="1:54" s="52" customFormat="1" ht="45" x14ac:dyDescent="0.2">
      <c r="A26" s="4"/>
      <c r="B26" s="5"/>
      <c r="C26" s="5"/>
      <c r="D26" s="5"/>
      <c r="E26" s="5">
        <v>1</v>
      </c>
      <c r="F26" s="5">
        <v>0</v>
      </c>
      <c r="G26" s="5"/>
      <c r="H26" s="54" t="s">
        <v>233</v>
      </c>
      <c r="I26" s="254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66"/>
      <c r="AU26" s="71"/>
      <c r="AV26" s="72"/>
      <c r="AW26" s="34"/>
      <c r="AX26" s="34"/>
      <c r="AY26" s="34"/>
      <c r="AZ26" s="34"/>
      <c r="BA26" s="34"/>
      <c r="BB26" s="34"/>
    </row>
    <row r="27" spans="1:54" s="52" customFormat="1" ht="30" x14ac:dyDescent="0.2">
      <c r="A27" s="4"/>
      <c r="B27" s="5"/>
      <c r="C27" s="5"/>
      <c r="D27" s="5"/>
      <c r="E27" s="5"/>
      <c r="F27" s="5"/>
      <c r="G27" s="5">
        <v>1</v>
      </c>
      <c r="H27" s="54" t="s">
        <v>234</v>
      </c>
      <c r="I27" s="254" t="s">
        <v>64</v>
      </c>
      <c r="J27" s="59">
        <f>J28</f>
        <v>0</v>
      </c>
      <c r="K27" s="59">
        <f>K28</f>
        <v>0</v>
      </c>
      <c r="L27" s="59">
        <f>L28</f>
        <v>0</v>
      </c>
      <c r="M27" s="59">
        <v>25</v>
      </c>
      <c r="N27" s="60">
        <f>N28</f>
        <v>22</v>
      </c>
      <c r="O27" s="60">
        <f>+Z27</f>
        <v>22</v>
      </c>
      <c r="P27" s="59">
        <f>P28</f>
        <v>0</v>
      </c>
      <c r="Q27" s="59">
        <f>Q28</f>
        <v>0</v>
      </c>
      <c r="R27" s="59">
        <f t="shared" ref="R27:AA27" si="7">R28</f>
        <v>0</v>
      </c>
      <c r="S27" s="59">
        <f t="shared" si="7"/>
        <v>0</v>
      </c>
      <c r="T27" s="59">
        <f t="shared" si="7"/>
        <v>0</v>
      </c>
      <c r="U27" s="59">
        <f t="shared" si="7"/>
        <v>0</v>
      </c>
      <c r="V27" s="59">
        <f>V28</f>
        <v>0</v>
      </c>
      <c r="W27" s="59">
        <f t="shared" si="7"/>
        <v>0</v>
      </c>
      <c r="X27" s="59">
        <f t="shared" si="7"/>
        <v>0</v>
      </c>
      <c r="Y27" s="59">
        <f t="shared" si="7"/>
        <v>0</v>
      </c>
      <c r="Z27" s="59">
        <v>22</v>
      </c>
      <c r="AA27" s="59">
        <f t="shared" si="7"/>
        <v>0</v>
      </c>
      <c r="AB27" s="60">
        <v>0</v>
      </c>
      <c r="AC27" s="60">
        <v>0</v>
      </c>
      <c r="AD27" s="60">
        <v>0</v>
      </c>
      <c r="AE27" s="60">
        <v>34825116</v>
      </c>
      <c r="AF27" s="60">
        <f>+SUM(AH27:AS27)</f>
        <v>34078513.260000005</v>
      </c>
      <c r="AG27" s="60">
        <f>+AR27</f>
        <v>0</v>
      </c>
      <c r="AH27" s="59">
        <v>0</v>
      </c>
      <c r="AI27" s="59">
        <v>0</v>
      </c>
      <c r="AJ27" s="59">
        <v>29978513.260000002</v>
      </c>
      <c r="AK27" s="59">
        <v>0</v>
      </c>
      <c r="AL27" s="59">
        <v>0</v>
      </c>
      <c r="AM27" s="59"/>
      <c r="AN27" s="59">
        <v>0</v>
      </c>
      <c r="AO27" s="59"/>
      <c r="AP27" s="59"/>
      <c r="AQ27" s="59">
        <v>4100000</v>
      </c>
      <c r="AR27" s="59"/>
      <c r="AS27" s="66"/>
      <c r="AU27" s="71"/>
      <c r="AV27" s="72"/>
      <c r="AW27" s="34"/>
      <c r="AX27" s="34"/>
      <c r="AY27" s="34"/>
      <c r="AZ27" s="34"/>
      <c r="BA27" s="34"/>
      <c r="BB27" s="34"/>
    </row>
    <row r="28" spans="1:54" s="52" customFormat="1" ht="27" x14ac:dyDescent="0.2">
      <c r="A28" s="61"/>
      <c r="B28" s="6"/>
      <c r="C28" s="6"/>
      <c r="D28" s="6"/>
      <c r="E28" s="6"/>
      <c r="F28" s="6"/>
      <c r="G28" s="6">
        <v>2</v>
      </c>
      <c r="H28" s="114" t="s">
        <v>234</v>
      </c>
      <c r="I28" s="211" t="s">
        <v>64</v>
      </c>
      <c r="J28" s="59">
        <v>0</v>
      </c>
      <c r="K28" s="59">
        <v>0</v>
      </c>
      <c r="L28" s="59">
        <v>0</v>
      </c>
      <c r="M28" s="59">
        <v>25</v>
      </c>
      <c r="N28" s="59">
        <f>+SUM(P28:AA28)</f>
        <v>22</v>
      </c>
      <c r="O28" s="60">
        <f>+Z28</f>
        <v>22</v>
      </c>
      <c r="P28" s="59">
        <v>0</v>
      </c>
      <c r="Q28" s="59">
        <v>0</v>
      </c>
      <c r="R28" s="59">
        <v>0</v>
      </c>
      <c r="S28" s="59">
        <v>0</v>
      </c>
      <c r="T28" s="59">
        <v>0</v>
      </c>
      <c r="U28" s="59">
        <v>0</v>
      </c>
      <c r="V28" s="59">
        <v>0</v>
      </c>
      <c r="W28" s="59">
        <v>0</v>
      </c>
      <c r="X28" s="59">
        <v>0</v>
      </c>
      <c r="Y28" s="59">
        <v>0</v>
      </c>
      <c r="Z28" s="59">
        <v>22</v>
      </c>
      <c r="AA28" s="59">
        <v>0</v>
      </c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66"/>
      <c r="AU28" s="160"/>
      <c r="AV28" s="161"/>
      <c r="AW28" s="36"/>
      <c r="AX28" s="36"/>
      <c r="AY28" s="36"/>
      <c r="AZ28" s="36"/>
      <c r="BA28" s="36"/>
      <c r="BB28" s="36"/>
    </row>
    <row r="29" spans="1:54" s="52" customFormat="1" ht="45" x14ac:dyDescent="0.2">
      <c r="A29" s="61"/>
      <c r="B29" s="6"/>
      <c r="C29" s="6"/>
      <c r="D29" s="6"/>
      <c r="E29" s="6"/>
      <c r="F29" s="6"/>
      <c r="G29" s="6"/>
      <c r="H29" s="54" t="s">
        <v>252</v>
      </c>
      <c r="I29" s="211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66"/>
      <c r="AU29" s="209"/>
      <c r="AV29" s="210"/>
      <c r="AW29" s="3"/>
      <c r="AX29" s="3"/>
      <c r="AY29" s="3"/>
      <c r="AZ29" s="3"/>
      <c r="BA29" s="3"/>
      <c r="BB29" s="3"/>
    </row>
    <row r="30" spans="1:54" s="52" customFormat="1" ht="75" x14ac:dyDescent="0.2">
      <c r="A30" s="61"/>
      <c r="B30" s="6"/>
      <c r="C30" s="6">
        <v>14</v>
      </c>
      <c r="D30" s="6"/>
      <c r="E30" s="6"/>
      <c r="F30" s="6"/>
      <c r="G30" s="6"/>
      <c r="H30" s="54" t="s">
        <v>253</v>
      </c>
      <c r="I30" s="211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66"/>
      <c r="AU30" s="209"/>
      <c r="AV30" s="210"/>
      <c r="AW30" s="3"/>
      <c r="AX30" s="3"/>
      <c r="AY30" s="3"/>
      <c r="AZ30" s="3"/>
      <c r="BA30" s="3"/>
      <c r="BB30" s="3"/>
    </row>
    <row r="31" spans="1:54" s="52" customFormat="1" ht="67.5" x14ac:dyDescent="0.25">
      <c r="A31" s="61"/>
      <c r="B31" s="6"/>
      <c r="C31" s="6"/>
      <c r="D31" s="6"/>
      <c r="E31" s="6">
        <v>1</v>
      </c>
      <c r="F31" s="6"/>
      <c r="G31" s="6">
        <v>1</v>
      </c>
      <c r="H31" s="114" t="s">
        <v>254</v>
      </c>
      <c r="I31" s="211" t="s">
        <v>64</v>
      </c>
      <c r="J31" s="59">
        <v>0</v>
      </c>
      <c r="K31" s="59">
        <v>0</v>
      </c>
      <c r="L31" s="59">
        <v>0</v>
      </c>
      <c r="M31" s="59">
        <v>30</v>
      </c>
      <c r="N31" s="59">
        <f>+SUM(P31:AA31)</f>
        <v>10</v>
      </c>
      <c r="O31" s="60">
        <f>+Z31</f>
        <v>10</v>
      </c>
      <c r="P31" s="59"/>
      <c r="Q31" s="59"/>
      <c r="R31" s="59"/>
      <c r="S31" s="59"/>
      <c r="T31" s="59"/>
      <c r="U31" s="59"/>
      <c r="V31" s="59"/>
      <c r="W31" s="59">
        <v>0</v>
      </c>
      <c r="X31" s="59"/>
      <c r="Y31" s="59">
        <v>0</v>
      </c>
      <c r="Z31" s="59">
        <v>10</v>
      </c>
      <c r="AA31" s="59"/>
      <c r="AB31" s="59">
        <v>0</v>
      </c>
      <c r="AC31" s="59">
        <v>0</v>
      </c>
      <c r="AD31" s="59">
        <v>0</v>
      </c>
      <c r="AE31" s="60">
        <v>199886013.41</v>
      </c>
      <c r="AF31" s="60">
        <f>+AG31+AR31</f>
        <v>148926832.36000001</v>
      </c>
      <c r="AG31" s="60">
        <f>+AR31</f>
        <v>74463416.180000007</v>
      </c>
      <c r="AH31" s="59"/>
      <c r="AI31" s="59"/>
      <c r="AJ31" s="59"/>
      <c r="AK31" s="59"/>
      <c r="AL31" s="59"/>
      <c r="AM31" s="59"/>
      <c r="AN31" s="59"/>
      <c r="AO31" s="59"/>
      <c r="AP31" s="59"/>
      <c r="AQ31" s="59">
        <v>47102941.210000001</v>
      </c>
      <c r="AR31" s="58">
        <v>74463416.180000007</v>
      </c>
      <c r="AS31" s="66"/>
      <c r="AU31" s="209"/>
      <c r="AV31" s="210"/>
      <c r="AW31" s="3"/>
      <c r="AX31" s="3"/>
      <c r="AY31" s="3"/>
      <c r="AZ31" s="3"/>
      <c r="BA31" s="3"/>
      <c r="BB31" s="3"/>
    </row>
    <row r="32" spans="1:54" s="52" customFormat="1" ht="67.5" x14ac:dyDescent="0.2">
      <c r="A32" s="61"/>
      <c r="B32" s="6"/>
      <c r="C32" s="6"/>
      <c r="D32" s="6"/>
      <c r="E32" s="6">
        <v>1</v>
      </c>
      <c r="F32" s="6"/>
      <c r="G32" s="6">
        <v>2</v>
      </c>
      <c r="H32" s="114" t="s">
        <v>254</v>
      </c>
      <c r="I32" s="211" t="s">
        <v>64</v>
      </c>
      <c r="J32" s="59">
        <v>0</v>
      </c>
      <c r="K32" s="59">
        <v>0</v>
      </c>
      <c r="L32" s="59">
        <v>0</v>
      </c>
      <c r="M32" s="59">
        <v>30</v>
      </c>
      <c r="N32" s="59">
        <f>+SUM(P32:AA32)</f>
        <v>10</v>
      </c>
      <c r="O32" s="60">
        <f>+Z32</f>
        <v>10</v>
      </c>
      <c r="P32" s="59"/>
      <c r="Q32" s="59"/>
      <c r="R32" s="59"/>
      <c r="S32" s="59"/>
      <c r="T32" s="59"/>
      <c r="U32" s="59"/>
      <c r="V32" s="59"/>
      <c r="W32" s="59">
        <v>0</v>
      </c>
      <c r="X32" s="59"/>
      <c r="Y32" s="59">
        <v>0</v>
      </c>
      <c r="Z32" s="59">
        <v>10</v>
      </c>
      <c r="AA32" s="59"/>
      <c r="AB32" s="59">
        <v>0</v>
      </c>
      <c r="AC32" s="59">
        <v>0</v>
      </c>
      <c r="AD32" s="59"/>
      <c r="AE32" s="59"/>
      <c r="AF32" s="59"/>
      <c r="AG32" s="60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66"/>
      <c r="AU32" s="209"/>
      <c r="AV32" s="210"/>
      <c r="AW32" s="3"/>
      <c r="AX32" s="3"/>
      <c r="AY32" s="3"/>
      <c r="AZ32" s="3"/>
      <c r="BA32" s="3"/>
      <c r="BB32" s="3"/>
    </row>
    <row r="33" spans="1:45" ht="135" x14ac:dyDescent="0.25">
      <c r="A33" s="61"/>
      <c r="B33" s="6"/>
      <c r="C33" s="6">
        <v>15</v>
      </c>
      <c r="D33" s="6"/>
      <c r="E33" s="6"/>
      <c r="F33" s="6"/>
      <c r="G33" s="6"/>
      <c r="H33" s="54" t="s">
        <v>262</v>
      </c>
      <c r="I33" s="211" t="s">
        <v>64</v>
      </c>
      <c r="J33" s="59"/>
      <c r="K33" s="59"/>
      <c r="L33" s="59">
        <v>0</v>
      </c>
      <c r="M33" s="59">
        <v>24</v>
      </c>
      <c r="N33" s="59">
        <v>0</v>
      </c>
      <c r="O33" s="60">
        <f>+Z33</f>
        <v>0</v>
      </c>
      <c r="P33" s="59"/>
      <c r="Q33" s="59"/>
      <c r="R33" s="59"/>
      <c r="S33" s="59"/>
      <c r="T33" s="59"/>
      <c r="U33" s="59"/>
      <c r="V33" s="59"/>
      <c r="W33" s="59"/>
      <c r="X33" s="59"/>
      <c r="Y33" s="59">
        <v>0</v>
      </c>
      <c r="Z33" s="59"/>
      <c r="AA33" s="59"/>
      <c r="AB33" s="59"/>
      <c r="AC33" s="59"/>
      <c r="AD33" s="59"/>
      <c r="AE33" s="59"/>
      <c r="AF33" s="59"/>
      <c r="AG33" s="60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212"/>
      <c r="AS33" s="257"/>
    </row>
    <row r="34" spans="1:45" ht="41.25" thickBot="1" x14ac:dyDescent="0.3">
      <c r="A34" s="62"/>
      <c r="B34" s="63"/>
      <c r="C34" s="63"/>
      <c r="D34" s="63"/>
      <c r="E34" s="63">
        <v>1</v>
      </c>
      <c r="F34" s="63"/>
      <c r="G34" s="63"/>
      <c r="H34" s="64" t="s">
        <v>263</v>
      </c>
      <c r="I34" s="258" t="s">
        <v>64</v>
      </c>
      <c r="J34" s="263">
        <v>0</v>
      </c>
      <c r="K34" s="263">
        <v>0</v>
      </c>
      <c r="L34" s="263">
        <v>0</v>
      </c>
      <c r="M34" s="263">
        <v>24</v>
      </c>
      <c r="N34" s="263">
        <v>0</v>
      </c>
      <c r="O34" s="312">
        <f>+Z34</f>
        <v>0</v>
      </c>
      <c r="P34" s="263"/>
      <c r="Q34" s="263"/>
      <c r="R34" s="263"/>
      <c r="S34" s="263"/>
      <c r="T34" s="263"/>
      <c r="U34" s="263"/>
      <c r="V34" s="263"/>
      <c r="W34" s="263">
        <v>0</v>
      </c>
      <c r="X34" s="263"/>
      <c r="Y34" s="263">
        <v>0</v>
      </c>
      <c r="Z34" s="263"/>
      <c r="AA34" s="263"/>
      <c r="AB34" s="263">
        <v>0</v>
      </c>
      <c r="AC34" s="263">
        <v>0</v>
      </c>
      <c r="AD34" s="263">
        <v>0</v>
      </c>
      <c r="AE34" s="263">
        <v>0</v>
      </c>
      <c r="AF34" s="263">
        <v>0</v>
      </c>
      <c r="AG34" s="60">
        <f>+AR34</f>
        <v>0</v>
      </c>
      <c r="AH34" s="263"/>
      <c r="AI34" s="263"/>
      <c r="AJ34" s="263"/>
      <c r="AK34" s="263"/>
      <c r="AL34" s="263"/>
      <c r="AM34" s="263"/>
      <c r="AN34" s="263"/>
      <c r="AO34" s="263"/>
      <c r="AP34" s="263"/>
      <c r="AQ34" s="263"/>
      <c r="AR34" s="259"/>
      <c r="AS34" s="260"/>
    </row>
    <row r="35" spans="1:45" x14ac:dyDescent="0.25">
      <c r="L35" s="202"/>
      <c r="M35" s="202"/>
      <c r="N35" s="202"/>
      <c r="O35" s="202"/>
      <c r="Y35" s="202"/>
      <c r="AD35" s="202"/>
      <c r="AE35" s="202"/>
      <c r="AF35" s="202"/>
      <c r="AG35" s="202"/>
      <c r="AQ35" s="202">
        <f>SUM(AQ7:AQ34)</f>
        <v>257876171.37</v>
      </c>
    </row>
  </sheetData>
  <mergeCells count="7">
    <mergeCell ref="AY5:AZ5"/>
    <mergeCell ref="BA5:BB5"/>
    <mergeCell ref="A5:I5"/>
    <mergeCell ref="J5:O5"/>
    <mergeCell ref="AB5:AG5"/>
    <mergeCell ref="AU5:AV5"/>
    <mergeCell ref="AW5:AX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4" tint="0.39997558519241921"/>
  </sheetPr>
  <dimension ref="A1:BC69"/>
  <sheetViews>
    <sheetView zoomScale="85" zoomScaleNormal="85" workbookViewId="0">
      <pane ySplit="6" topLeftCell="A25" activePane="bottomLeft" state="frozen"/>
      <selection activeCell="J1" sqref="J1:K1048576"/>
      <selection pane="bottomLeft" activeCell="M1" sqref="M1:M1048576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hidden="1" customWidth="1"/>
    <col min="12" max="12" width="10.7109375" customWidth="1"/>
    <col min="13" max="15" width="13.7109375" customWidth="1"/>
    <col min="16" max="27" width="13.7109375" hidden="1" customWidth="1"/>
    <col min="28" max="32" width="16.28515625" customWidth="1"/>
    <col min="33" max="33" width="14.7109375" customWidth="1"/>
    <col min="34" max="45" width="13.7109375" hidden="1" customWidth="1"/>
    <col min="46" max="46" width="11.5703125" customWidth="1"/>
    <col min="48" max="48" width="10.7109375" customWidth="1"/>
    <col min="49" max="49" width="18" bestFit="1" customWidth="1"/>
    <col min="50" max="50" width="10.7109375" customWidth="1"/>
    <col min="51" max="51" width="18" bestFit="1" customWidth="1"/>
    <col min="52" max="52" width="10.7109375" customWidth="1"/>
    <col min="53" max="53" width="18" bestFit="1" customWidth="1"/>
    <col min="54" max="54" width="10.7109375" customWidth="1"/>
    <col min="55" max="55" width="18" bestFit="1" customWidth="1"/>
  </cols>
  <sheetData>
    <row r="1" spans="1:55" ht="15" customHeight="1" x14ac:dyDescent="0.25">
      <c r="A1" s="32" t="s">
        <v>49</v>
      </c>
    </row>
    <row r="2" spans="1:55" ht="15" customHeight="1" x14ac:dyDescent="0.25">
      <c r="A2" s="32" t="s">
        <v>50</v>
      </c>
    </row>
    <row r="3" spans="1:55" ht="15" customHeight="1" x14ac:dyDescent="0.25">
      <c r="A3" s="32" t="str">
        <f>+'201. DS'!A3</f>
        <v xml:space="preserve">EJERCICIO FISCAL 2022 - ACTUALIZADA NOVIEMBRE </v>
      </c>
    </row>
    <row r="4" spans="1:55" ht="15" customHeight="1" thickBot="1" x14ac:dyDescent="0.3"/>
    <row r="5" spans="1:55" x14ac:dyDescent="0.25">
      <c r="A5" s="328" t="s">
        <v>67</v>
      </c>
      <c r="B5" s="329"/>
      <c r="C5" s="329"/>
      <c r="D5" s="329"/>
      <c r="E5" s="329"/>
      <c r="F5" s="329"/>
      <c r="G5" s="329"/>
      <c r="H5" s="329"/>
      <c r="I5" s="329"/>
      <c r="J5" s="330" t="s">
        <v>1</v>
      </c>
      <c r="K5" s="330"/>
      <c r="L5" s="330"/>
      <c r="M5" s="330"/>
      <c r="N5" s="330"/>
      <c r="O5" s="330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30" t="s">
        <v>2</v>
      </c>
      <c r="AC5" s="330"/>
      <c r="AD5" s="330"/>
      <c r="AE5" s="330"/>
      <c r="AF5" s="330"/>
      <c r="AG5" s="331"/>
      <c r="AH5" s="162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40"/>
      <c r="AT5" s="51"/>
      <c r="AU5" s="51"/>
      <c r="AV5" s="327" t="s">
        <v>68</v>
      </c>
      <c r="AW5" s="327"/>
      <c r="AX5" s="327" t="s">
        <v>69</v>
      </c>
      <c r="AY5" s="327"/>
      <c r="AZ5" s="327" t="s">
        <v>70</v>
      </c>
      <c r="BA5" s="327"/>
      <c r="BB5" s="327" t="s">
        <v>84</v>
      </c>
      <c r="BC5" s="327"/>
    </row>
    <row r="6" spans="1:55" s="7" customFormat="1" ht="36.75" thickBot="1" x14ac:dyDescent="0.3">
      <c r="A6" s="255" t="s">
        <v>3</v>
      </c>
      <c r="B6" s="246" t="s">
        <v>4</v>
      </c>
      <c r="C6" s="246" t="s">
        <v>5</v>
      </c>
      <c r="D6" s="246" t="s">
        <v>6</v>
      </c>
      <c r="E6" s="246" t="s">
        <v>7</v>
      </c>
      <c r="F6" s="246" t="s">
        <v>8</v>
      </c>
      <c r="G6" s="246" t="s">
        <v>9</v>
      </c>
      <c r="H6" s="247" t="s">
        <v>10</v>
      </c>
      <c r="I6" s="248" t="s">
        <v>11</v>
      </c>
      <c r="J6" s="249" t="s">
        <v>12</v>
      </c>
      <c r="K6" s="249" t="s">
        <v>65</v>
      </c>
      <c r="L6" s="249" t="s">
        <v>13</v>
      </c>
      <c r="M6" s="249" t="s">
        <v>14</v>
      </c>
      <c r="N6" s="250" t="s">
        <v>15</v>
      </c>
      <c r="O6" s="250" t="s">
        <v>16</v>
      </c>
      <c r="P6" s="250" t="s">
        <v>17</v>
      </c>
      <c r="Q6" s="250" t="s">
        <v>18</v>
      </c>
      <c r="R6" s="250" t="s">
        <v>19</v>
      </c>
      <c r="S6" s="250" t="s">
        <v>20</v>
      </c>
      <c r="T6" s="250" t="s">
        <v>21</v>
      </c>
      <c r="U6" s="249" t="s">
        <v>22</v>
      </c>
      <c r="V6" s="250" t="s">
        <v>23</v>
      </c>
      <c r="W6" s="250" t="s">
        <v>24</v>
      </c>
      <c r="X6" s="250" t="s">
        <v>25</v>
      </c>
      <c r="Y6" s="250" t="s">
        <v>26</v>
      </c>
      <c r="Z6" s="250" t="s">
        <v>27</v>
      </c>
      <c r="AA6" s="250" t="s">
        <v>28</v>
      </c>
      <c r="AB6" s="321" t="s">
        <v>12</v>
      </c>
      <c r="AC6" s="321" t="s">
        <v>65</v>
      </c>
      <c r="AD6" s="321" t="s">
        <v>13</v>
      </c>
      <c r="AE6" s="321" t="s">
        <v>14</v>
      </c>
      <c r="AF6" s="322" t="s">
        <v>15</v>
      </c>
      <c r="AG6" s="323" t="s">
        <v>16</v>
      </c>
      <c r="AH6" s="324" t="s">
        <v>17</v>
      </c>
      <c r="AI6" s="322" t="s">
        <v>18</v>
      </c>
      <c r="AJ6" s="322" t="s">
        <v>19</v>
      </c>
      <c r="AK6" s="322" t="s">
        <v>20</v>
      </c>
      <c r="AL6" s="322" t="s">
        <v>21</v>
      </c>
      <c r="AM6" s="323" t="s">
        <v>22</v>
      </c>
      <c r="AN6" s="322" t="s">
        <v>23</v>
      </c>
      <c r="AO6" s="322" t="s">
        <v>24</v>
      </c>
      <c r="AP6" s="322" t="s">
        <v>25</v>
      </c>
      <c r="AQ6" s="322" t="s">
        <v>26</v>
      </c>
      <c r="AR6" s="322" t="s">
        <v>27</v>
      </c>
      <c r="AS6" s="29" t="s">
        <v>28</v>
      </c>
      <c r="AT6" s="95"/>
      <c r="AU6" s="95"/>
      <c r="AV6" s="101" t="s">
        <v>54</v>
      </c>
      <c r="AW6" s="102" t="s">
        <v>2</v>
      </c>
      <c r="AX6" s="101" t="s">
        <v>54</v>
      </c>
      <c r="AY6" s="102" t="s">
        <v>2</v>
      </c>
      <c r="AZ6" s="101" t="s">
        <v>54</v>
      </c>
      <c r="BA6" s="102" t="s">
        <v>2</v>
      </c>
      <c r="BB6" s="101" t="s">
        <v>54</v>
      </c>
      <c r="BC6" s="102" t="s">
        <v>2</v>
      </c>
    </row>
    <row r="7" spans="1:55" ht="30" x14ac:dyDescent="0.3">
      <c r="A7" s="4"/>
      <c r="B7" s="96">
        <v>11</v>
      </c>
      <c r="C7" s="5"/>
      <c r="D7" s="5"/>
      <c r="E7" s="5"/>
      <c r="F7" s="5"/>
      <c r="G7" s="5"/>
      <c r="H7" s="54" t="s">
        <v>58</v>
      </c>
      <c r="I7" s="254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316"/>
      <c r="AT7" s="79"/>
      <c r="AU7" s="79"/>
      <c r="AV7" s="82"/>
      <c r="AW7" s="83"/>
      <c r="AX7" s="53"/>
      <c r="AY7" s="83"/>
      <c r="AZ7" s="53"/>
      <c r="BA7" s="84"/>
      <c r="BB7" s="53"/>
      <c r="BC7" s="84"/>
    </row>
    <row r="8" spans="1:55" ht="15.75" x14ac:dyDescent="0.3">
      <c r="A8" s="4"/>
      <c r="B8" s="96"/>
      <c r="C8" s="5">
        <v>0</v>
      </c>
      <c r="D8" s="5"/>
      <c r="E8" s="5"/>
      <c r="F8" s="5"/>
      <c r="G8" s="5"/>
      <c r="H8" s="54" t="s">
        <v>30</v>
      </c>
      <c r="I8" s="254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317"/>
      <c r="AT8" s="79"/>
      <c r="AU8" s="79"/>
      <c r="AV8" s="82"/>
      <c r="AW8" s="83"/>
      <c r="AX8" s="53"/>
      <c r="AY8" s="83"/>
      <c r="AZ8" s="53"/>
      <c r="BA8" s="84"/>
      <c r="BB8" s="53"/>
      <c r="BC8" s="84"/>
    </row>
    <row r="9" spans="1:55" ht="15.75" x14ac:dyDescent="0.3">
      <c r="A9" s="4"/>
      <c r="B9" s="96"/>
      <c r="C9" s="5"/>
      <c r="D9" s="5">
        <v>0</v>
      </c>
      <c r="E9" s="5"/>
      <c r="F9" s="5"/>
      <c r="G9" s="5"/>
      <c r="H9" s="54" t="s">
        <v>31</v>
      </c>
      <c r="I9" s="254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317"/>
      <c r="AT9" s="79"/>
      <c r="AU9" s="79"/>
      <c r="AV9" s="82"/>
      <c r="AW9" s="83"/>
      <c r="AX9" s="53"/>
      <c r="AY9" s="83"/>
      <c r="AZ9" s="53"/>
      <c r="BA9" s="84"/>
      <c r="BB9" s="53"/>
      <c r="BC9" s="84"/>
    </row>
    <row r="10" spans="1:55" ht="15.75" x14ac:dyDescent="0.3">
      <c r="A10" s="4"/>
      <c r="B10" s="96"/>
      <c r="C10" s="5"/>
      <c r="D10" s="5"/>
      <c r="E10" s="5">
        <v>1</v>
      </c>
      <c r="F10" s="5">
        <v>0</v>
      </c>
      <c r="G10" s="5"/>
      <c r="H10" s="54" t="s">
        <v>59</v>
      </c>
      <c r="I10" s="254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7">
        <v>30486815</v>
      </c>
      <c r="AC10" s="97">
        <v>24604500</v>
      </c>
      <c r="AD10" s="97">
        <v>24604500</v>
      </c>
      <c r="AE10" s="97">
        <v>25004500</v>
      </c>
      <c r="AF10" s="97">
        <f>15626346.82+AG10</f>
        <v>18841861.140000001</v>
      </c>
      <c r="AG10" s="97">
        <f>+AR10</f>
        <v>3215514.32</v>
      </c>
      <c r="AH10" s="204">
        <v>1216400.69</v>
      </c>
      <c r="AI10" s="204">
        <v>1077918.06</v>
      </c>
      <c r="AJ10" s="204">
        <v>1424923.11</v>
      </c>
      <c r="AK10" s="204">
        <v>1726852.79</v>
      </c>
      <c r="AL10" s="204">
        <v>1984438.42</v>
      </c>
      <c r="AM10" s="204">
        <v>345002.1</v>
      </c>
      <c r="AN10" s="207">
        <v>2734505.41</v>
      </c>
      <c r="AO10" s="97">
        <v>198405.21</v>
      </c>
      <c r="AP10" s="97">
        <v>206362.67</v>
      </c>
      <c r="AQ10" s="58">
        <v>811679.15</v>
      </c>
      <c r="AR10" s="97">
        <v>3215514.32</v>
      </c>
      <c r="AS10" s="318">
        <v>0</v>
      </c>
      <c r="AT10" s="85">
        <f>AG10/AE10</f>
        <v>0.12859742526345258</v>
      </c>
      <c r="AU10" s="79"/>
      <c r="AV10" s="82"/>
      <c r="AW10" s="83"/>
      <c r="AX10" s="53"/>
      <c r="AY10" s="83"/>
      <c r="AZ10" s="53"/>
      <c r="BA10" s="84"/>
      <c r="BB10" s="53"/>
      <c r="BC10" s="84"/>
    </row>
    <row r="11" spans="1:55" ht="15.75" x14ac:dyDescent="0.3">
      <c r="A11" s="4">
        <v>4</v>
      </c>
      <c r="B11" s="5"/>
      <c r="C11" s="5"/>
      <c r="D11" s="5"/>
      <c r="E11" s="5"/>
      <c r="F11" s="5"/>
      <c r="G11" s="5">
        <v>1</v>
      </c>
      <c r="H11" s="56" t="s">
        <v>60</v>
      </c>
      <c r="I11" s="254" t="s">
        <v>34</v>
      </c>
      <c r="J11" s="9">
        <f t="shared" ref="J11:AA11" si="0">+J12</f>
        <v>120</v>
      </c>
      <c r="K11" s="9">
        <f>K12</f>
        <v>120</v>
      </c>
      <c r="L11" s="9">
        <f>L12</f>
        <v>120</v>
      </c>
      <c r="M11" s="9">
        <f>M12</f>
        <v>120</v>
      </c>
      <c r="N11" s="9">
        <f>13+Z11</f>
        <v>14</v>
      </c>
      <c r="O11" s="9">
        <f>+Z11</f>
        <v>1</v>
      </c>
      <c r="P11" s="9">
        <f t="shared" si="0"/>
        <v>0</v>
      </c>
      <c r="Q11" s="9">
        <f t="shared" si="0"/>
        <v>0</v>
      </c>
      <c r="R11" s="9">
        <f t="shared" si="0"/>
        <v>0</v>
      </c>
      <c r="S11" s="9">
        <v>2</v>
      </c>
      <c r="T11" s="9">
        <f t="shared" si="0"/>
        <v>4</v>
      </c>
      <c r="U11" s="9">
        <f t="shared" si="0"/>
        <v>0</v>
      </c>
      <c r="V11" s="9">
        <f t="shared" si="0"/>
        <v>1</v>
      </c>
      <c r="W11" s="9">
        <f t="shared" si="0"/>
        <v>0</v>
      </c>
      <c r="X11" s="9">
        <f t="shared" si="0"/>
        <v>1</v>
      </c>
      <c r="Y11" s="9">
        <v>5</v>
      </c>
      <c r="Z11" s="9">
        <f t="shared" si="0"/>
        <v>1</v>
      </c>
      <c r="AA11" s="9">
        <f t="shared" si="0"/>
        <v>0</v>
      </c>
      <c r="AB11" s="9"/>
      <c r="AC11" s="9"/>
      <c r="AD11" s="9"/>
      <c r="AE11" s="9"/>
      <c r="AF11" s="216"/>
      <c r="AG11" s="216"/>
      <c r="AH11" s="216"/>
      <c r="AI11" s="216"/>
      <c r="AJ11" s="216"/>
      <c r="AK11" s="216"/>
      <c r="AL11" s="216"/>
      <c r="AM11" s="216"/>
      <c r="AN11" s="216"/>
      <c r="AO11" s="216"/>
      <c r="AP11" s="216"/>
      <c r="AQ11" s="216"/>
      <c r="AR11" s="216"/>
      <c r="AS11" s="319"/>
      <c r="AT11" s="217"/>
      <c r="AU11" s="79"/>
      <c r="AV11" s="218">
        <f>+AV12</f>
        <v>124</v>
      </c>
      <c r="AW11" s="86">
        <f>+AW12</f>
        <v>31248985.375</v>
      </c>
      <c r="AX11" s="53">
        <v>132</v>
      </c>
      <c r="AY11" s="83">
        <f>+AY12</f>
        <v>31794977.296124995</v>
      </c>
      <c r="AZ11" s="53">
        <f>+AZ12</f>
        <v>140</v>
      </c>
      <c r="BA11" s="83">
        <f>+BA12</f>
        <v>32351090.524579369</v>
      </c>
      <c r="BB11" s="53">
        <f>+BB12</f>
        <v>146</v>
      </c>
      <c r="BC11" s="86">
        <f>+BC12</f>
        <v>32917525.165685866</v>
      </c>
    </row>
    <row r="12" spans="1:55" ht="15.75" x14ac:dyDescent="0.3">
      <c r="A12" s="4"/>
      <c r="B12" s="5"/>
      <c r="C12" s="5"/>
      <c r="D12" s="5"/>
      <c r="E12" s="6"/>
      <c r="F12" s="6"/>
      <c r="G12" s="6">
        <v>9</v>
      </c>
      <c r="H12" s="57" t="s">
        <v>60</v>
      </c>
      <c r="I12" s="211" t="s">
        <v>34</v>
      </c>
      <c r="J12" s="11">
        <v>120</v>
      </c>
      <c r="K12" s="11">
        <v>120</v>
      </c>
      <c r="L12" s="11">
        <v>120</v>
      </c>
      <c r="M12" s="11">
        <v>120</v>
      </c>
      <c r="N12" s="11">
        <f>13+Z12</f>
        <v>14</v>
      </c>
      <c r="O12" s="9">
        <f>+Z12</f>
        <v>1</v>
      </c>
      <c r="P12" s="11">
        <v>0</v>
      </c>
      <c r="Q12" s="11">
        <v>0</v>
      </c>
      <c r="R12" s="11">
        <v>0</v>
      </c>
      <c r="S12" s="11">
        <v>2</v>
      </c>
      <c r="T12" s="11">
        <v>4</v>
      </c>
      <c r="U12" s="11">
        <v>0</v>
      </c>
      <c r="V12" s="11">
        <v>1</v>
      </c>
      <c r="W12" s="11">
        <v>0</v>
      </c>
      <c r="X12" s="11">
        <v>1</v>
      </c>
      <c r="Y12" s="11">
        <v>5</v>
      </c>
      <c r="Z12" s="11">
        <v>1</v>
      </c>
      <c r="AA12" s="11">
        <v>0</v>
      </c>
      <c r="AB12" s="11"/>
      <c r="AC12" s="11"/>
      <c r="AD12" s="11"/>
      <c r="AE12" s="11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  <c r="AS12" s="319"/>
      <c r="AT12" s="219"/>
      <c r="AU12" s="51"/>
      <c r="AV12" s="220">
        <v>124</v>
      </c>
      <c r="AW12" s="91">
        <v>31248985.375</v>
      </c>
      <c r="AX12" s="50">
        <v>132</v>
      </c>
      <c r="AY12" s="91">
        <v>31794977.296124995</v>
      </c>
      <c r="AZ12" s="53">
        <v>140</v>
      </c>
      <c r="BA12" s="83">
        <v>32351090.524579369</v>
      </c>
      <c r="BB12" s="53">
        <v>146</v>
      </c>
      <c r="BC12" s="103">
        <v>32917525.165685866</v>
      </c>
    </row>
    <row r="13" spans="1:55" ht="30" x14ac:dyDescent="0.25">
      <c r="A13" s="4"/>
      <c r="B13" s="5"/>
      <c r="C13" s="5">
        <v>1</v>
      </c>
      <c r="D13" s="5"/>
      <c r="E13" s="5"/>
      <c r="F13" s="5"/>
      <c r="G13" s="5"/>
      <c r="H13" s="56" t="s">
        <v>71</v>
      </c>
      <c r="I13" s="254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  <c r="AS13" s="319"/>
      <c r="AT13" s="219"/>
      <c r="AU13" s="51"/>
      <c r="AV13" s="220"/>
      <c r="AW13" s="91"/>
      <c r="AX13" s="50"/>
      <c r="AY13" s="91"/>
      <c r="AZ13" s="50"/>
      <c r="BA13" s="78"/>
      <c r="BB13" s="50"/>
      <c r="BC13" s="78"/>
    </row>
    <row r="14" spans="1:55" x14ac:dyDescent="0.25">
      <c r="A14" s="4"/>
      <c r="B14" s="5"/>
      <c r="C14" s="5"/>
      <c r="D14" s="5">
        <v>0</v>
      </c>
      <c r="E14" s="6"/>
      <c r="F14" s="6"/>
      <c r="G14" s="6"/>
      <c r="H14" s="56" t="s">
        <v>31</v>
      </c>
      <c r="I14" s="2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  <c r="AS14" s="319"/>
      <c r="AT14" s="219"/>
      <c r="AU14" s="51"/>
      <c r="AV14" s="220"/>
      <c r="AW14" s="91"/>
      <c r="AX14" s="50"/>
      <c r="AY14" s="91"/>
      <c r="AZ14" s="50"/>
      <c r="BA14" s="78"/>
      <c r="BB14" s="50"/>
      <c r="BC14" s="78"/>
    </row>
    <row r="15" spans="1:55" ht="30" x14ac:dyDescent="0.3">
      <c r="A15" s="4"/>
      <c r="B15" s="5"/>
      <c r="C15" s="5"/>
      <c r="D15" s="5"/>
      <c r="E15" s="6">
        <v>1</v>
      </c>
      <c r="F15" s="6"/>
      <c r="G15" s="5"/>
      <c r="H15" s="56" t="s">
        <v>72</v>
      </c>
      <c r="I15" s="211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216">
        <v>5240000</v>
      </c>
      <c r="AC15" s="216">
        <v>5240000</v>
      </c>
      <c r="AD15" s="216">
        <v>5240000</v>
      </c>
      <c r="AE15" s="216">
        <v>1240000</v>
      </c>
      <c r="AF15" s="221">
        <v>0</v>
      </c>
      <c r="AG15" s="97">
        <f>+AR15</f>
        <v>0</v>
      </c>
      <c r="AH15" s="216">
        <v>0</v>
      </c>
      <c r="AI15" s="216">
        <v>0</v>
      </c>
      <c r="AJ15" s="216">
        <v>0</v>
      </c>
      <c r="AK15" s="216">
        <v>0</v>
      </c>
      <c r="AL15" s="216">
        <v>0</v>
      </c>
      <c r="AM15" s="216">
        <v>0</v>
      </c>
      <c r="AN15" s="216">
        <v>0</v>
      </c>
      <c r="AO15" s="216">
        <v>0</v>
      </c>
      <c r="AP15" s="216">
        <v>0</v>
      </c>
      <c r="AQ15" s="216">
        <v>0</v>
      </c>
      <c r="AR15" s="216">
        <v>0</v>
      </c>
      <c r="AS15" s="319">
        <v>0</v>
      </c>
      <c r="AT15" s="217">
        <f>AG15/AE15</f>
        <v>0</v>
      </c>
      <c r="AU15" s="51"/>
      <c r="AV15" s="218"/>
      <c r="AW15" s="91"/>
      <c r="AX15" s="50"/>
      <c r="AY15" s="91"/>
      <c r="AZ15" s="50"/>
      <c r="BA15" s="78"/>
      <c r="BB15" s="50"/>
      <c r="BC15" s="78"/>
    </row>
    <row r="16" spans="1:55" ht="30" x14ac:dyDescent="0.3">
      <c r="A16" s="4">
        <v>4</v>
      </c>
      <c r="B16" s="5"/>
      <c r="C16" s="5"/>
      <c r="D16" s="5"/>
      <c r="E16" s="5"/>
      <c r="F16" s="5"/>
      <c r="G16" s="5">
        <v>1</v>
      </c>
      <c r="H16" s="56" t="s">
        <v>73</v>
      </c>
      <c r="I16" s="261" t="s">
        <v>64</v>
      </c>
      <c r="J16" s="9">
        <f>+J17</f>
        <v>11</v>
      </c>
      <c r="K16" s="9">
        <f>K17</f>
        <v>11</v>
      </c>
      <c r="L16" s="9">
        <f>L17</f>
        <v>11</v>
      </c>
      <c r="M16" s="9">
        <v>11</v>
      </c>
      <c r="N16" s="9">
        <f>N17</f>
        <v>0</v>
      </c>
      <c r="O16" s="9">
        <v>0</v>
      </c>
      <c r="P16" s="9">
        <f t="shared" ref="P16:AA16" si="1">+P17</f>
        <v>0</v>
      </c>
      <c r="Q16" s="9">
        <f t="shared" si="1"/>
        <v>0</v>
      </c>
      <c r="R16" s="9">
        <f t="shared" si="1"/>
        <v>0</v>
      </c>
      <c r="S16" s="9">
        <f t="shared" si="1"/>
        <v>0</v>
      </c>
      <c r="T16" s="9">
        <f t="shared" si="1"/>
        <v>0</v>
      </c>
      <c r="U16" s="9">
        <f t="shared" si="1"/>
        <v>0</v>
      </c>
      <c r="V16" s="9">
        <f t="shared" si="1"/>
        <v>0</v>
      </c>
      <c r="W16" s="9">
        <f t="shared" si="1"/>
        <v>0</v>
      </c>
      <c r="X16" s="9">
        <v>0</v>
      </c>
      <c r="Y16" s="9">
        <f t="shared" si="1"/>
        <v>0</v>
      </c>
      <c r="Z16" s="9">
        <f t="shared" si="1"/>
        <v>0</v>
      </c>
      <c r="AA16" s="9">
        <f t="shared" si="1"/>
        <v>0</v>
      </c>
      <c r="AB16" s="9"/>
      <c r="AC16" s="9"/>
      <c r="AD16" s="9"/>
      <c r="AE16" s="9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  <c r="AS16" s="319"/>
      <c r="AT16" s="217"/>
      <c r="AU16" s="79"/>
      <c r="AV16" s="92">
        <f>+AV17</f>
        <v>11</v>
      </c>
      <c r="AW16" s="93">
        <f>+AW17</f>
        <v>5260000</v>
      </c>
      <c r="AX16" s="92">
        <f t="shared" ref="AX16:BC16" si="2">+AX17</f>
        <v>11</v>
      </c>
      <c r="AY16" s="93">
        <f t="shared" si="2"/>
        <v>5280000</v>
      </c>
      <c r="AZ16" s="92">
        <f t="shared" si="2"/>
        <v>11</v>
      </c>
      <c r="BA16" s="93">
        <f t="shared" si="2"/>
        <v>5240000</v>
      </c>
      <c r="BB16" s="92">
        <f t="shared" si="2"/>
        <v>11</v>
      </c>
      <c r="BC16" s="93">
        <f t="shared" si="2"/>
        <v>5240000</v>
      </c>
    </row>
    <row r="17" spans="1:55" ht="27" x14ac:dyDescent="0.25">
      <c r="A17" s="4"/>
      <c r="B17" s="5"/>
      <c r="C17" s="5"/>
      <c r="D17" s="5"/>
      <c r="E17" s="6"/>
      <c r="F17" s="6"/>
      <c r="G17" s="6">
        <v>4</v>
      </c>
      <c r="H17" s="57" t="s">
        <v>73</v>
      </c>
      <c r="I17" s="262" t="s">
        <v>64</v>
      </c>
      <c r="J17" s="11">
        <v>11</v>
      </c>
      <c r="K17" s="11">
        <v>11</v>
      </c>
      <c r="L17" s="11">
        <v>11</v>
      </c>
      <c r="M17" s="11">
        <v>11</v>
      </c>
      <c r="N17" s="11">
        <f>SUM(P17:AA17)</f>
        <v>0</v>
      </c>
      <c r="O17" s="11">
        <f>+Y17</f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/>
      <c r="AC17" s="11"/>
      <c r="AD17" s="11"/>
      <c r="AE17" s="11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  <c r="AS17" s="319"/>
      <c r="AT17" s="219"/>
      <c r="AU17" s="51"/>
      <c r="AV17" s="222">
        <v>11</v>
      </c>
      <c r="AW17" s="223">
        <v>5260000</v>
      </c>
      <c r="AX17" s="222">
        <v>11</v>
      </c>
      <c r="AY17" s="223">
        <v>5280000</v>
      </c>
      <c r="AZ17" s="222">
        <v>11</v>
      </c>
      <c r="BA17" s="223">
        <v>5240000</v>
      </c>
      <c r="BB17" s="222">
        <v>11</v>
      </c>
      <c r="BC17" s="223">
        <v>5240000</v>
      </c>
    </row>
    <row r="18" spans="1:55" ht="30" x14ac:dyDescent="0.3">
      <c r="A18" s="4"/>
      <c r="B18" s="5"/>
      <c r="C18" s="5"/>
      <c r="D18" s="5"/>
      <c r="E18" s="5">
        <v>2</v>
      </c>
      <c r="F18" s="6"/>
      <c r="G18" s="6"/>
      <c r="H18" s="56" t="s">
        <v>74</v>
      </c>
      <c r="I18" s="2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216">
        <v>1150953245</v>
      </c>
      <c r="AC18" s="216">
        <v>785849853</v>
      </c>
      <c r="AD18" s="216">
        <v>839993853</v>
      </c>
      <c r="AE18" s="216">
        <v>815809543</v>
      </c>
      <c r="AF18" s="221">
        <f>495320247.96+AG18</f>
        <v>611028400.54999995</v>
      </c>
      <c r="AG18" s="97">
        <f>+AR18</f>
        <v>115708152.59</v>
      </c>
      <c r="AH18" s="216">
        <v>0</v>
      </c>
      <c r="AI18" s="216">
        <v>22488951.609999999</v>
      </c>
      <c r="AJ18" s="216">
        <v>44029606.659999996</v>
      </c>
      <c r="AK18" s="216">
        <v>47865100.490000002</v>
      </c>
      <c r="AL18" s="216">
        <v>44035997.659999996</v>
      </c>
      <c r="AM18" s="216">
        <v>66558996.979999997</v>
      </c>
      <c r="AN18" s="216">
        <v>267356330.11000001</v>
      </c>
      <c r="AO18" s="216">
        <v>49616335.189999998</v>
      </c>
      <c r="AP18" s="216">
        <v>16233375.140000001</v>
      </c>
      <c r="AQ18" s="216">
        <v>126289148.38</v>
      </c>
      <c r="AR18" s="216">
        <v>115708152.59</v>
      </c>
      <c r="AS18" s="319">
        <v>0</v>
      </c>
      <c r="AT18" s="217">
        <f>AG18/AE18</f>
        <v>0.14183231071863056</v>
      </c>
      <c r="AU18" s="51"/>
      <c r="AV18" s="218"/>
      <c r="AW18" s="91"/>
      <c r="AX18" s="50"/>
      <c r="AY18" s="91"/>
      <c r="AZ18" s="50"/>
      <c r="BA18" s="78"/>
      <c r="BB18" s="50"/>
      <c r="BC18" s="78"/>
    </row>
    <row r="19" spans="1:55" ht="30" x14ac:dyDescent="0.3">
      <c r="A19" s="4">
        <v>4</v>
      </c>
      <c r="B19" s="5"/>
      <c r="C19" s="5"/>
      <c r="D19" s="5"/>
      <c r="E19" s="5"/>
      <c r="F19" s="5"/>
      <c r="G19" s="5">
        <v>1</v>
      </c>
      <c r="H19" s="56" t="s">
        <v>75</v>
      </c>
      <c r="I19" s="261" t="s">
        <v>63</v>
      </c>
      <c r="J19" s="9">
        <f>+J20</f>
        <v>6585</v>
      </c>
      <c r="K19" s="9">
        <f>+K20</f>
        <v>6585</v>
      </c>
      <c r="L19" s="9">
        <f>+L20</f>
        <v>6585</v>
      </c>
      <c r="M19" s="9">
        <f>+M20</f>
        <v>5974</v>
      </c>
      <c r="N19" s="9">
        <v>4322</v>
      </c>
      <c r="O19" s="9">
        <f>+Z19</f>
        <v>684</v>
      </c>
      <c r="P19" s="9">
        <f t="shared" ref="P19:AA19" si="3">+P20</f>
        <v>0</v>
      </c>
      <c r="Q19" s="9">
        <f t="shared" si="3"/>
        <v>0</v>
      </c>
      <c r="R19" s="9">
        <f t="shared" si="3"/>
        <v>395</v>
      </c>
      <c r="S19" s="9">
        <f t="shared" si="3"/>
        <v>202</v>
      </c>
      <c r="T19" s="9">
        <f t="shared" si="3"/>
        <v>387</v>
      </c>
      <c r="U19" s="9">
        <f t="shared" si="3"/>
        <v>347</v>
      </c>
      <c r="V19" s="9">
        <f t="shared" si="3"/>
        <v>293</v>
      </c>
      <c r="W19" s="9">
        <f t="shared" si="3"/>
        <v>368</v>
      </c>
      <c r="X19" s="9">
        <f t="shared" si="3"/>
        <v>396</v>
      </c>
      <c r="Y19" s="9">
        <v>1320</v>
      </c>
      <c r="Z19" s="9">
        <v>684</v>
      </c>
      <c r="AA19" s="9">
        <f t="shared" si="3"/>
        <v>0</v>
      </c>
      <c r="AB19" s="9"/>
      <c r="AC19" s="9"/>
      <c r="AD19" s="9"/>
      <c r="AE19" s="9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  <c r="AS19" s="319"/>
      <c r="AT19" s="217"/>
      <c r="AU19" s="79"/>
      <c r="AV19" s="92">
        <f>+AV20</f>
        <v>6600</v>
      </c>
      <c r="AW19" s="93">
        <f>+AW20</f>
        <v>1208500908</v>
      </c>
      <c r="AX19" s="92">
        <f t="shared" ref="AX19:BC19" si="4">+AX20</f>
        <v>6650</v>
      </c>
      <c r="AY19" s="93">
        <f t="shared" si="4"/>
        <v>1268925957</v>
      </c>
      <c r="AZ19" s="92">
        <f t="shared" si="4"/>
        <v>6700</v>
      </c>
      <c r="BA19" s="93">
        <f t="shared" si="4"/>
        <v>1332372254</v>
      </c>
      <c r="BB19" s="92">
        <f t="shared" si="4"/>
        <v>6750</v>
      </c>
      <c r="BC19" s="93">
        <f t="shared" si="4"/>
        <v>1398990870</v>
      </c>
    </row>
    <row r="20" spans="1:55" ht="27" x14ac:dyDescent="0.25">
      <c r="A20" s="61"/>
      <c r="B20" s="6"/>
      <c r="C20" s="6"/>
      <c r="D20" s="6"/>
      <c r="E20" s="6"/>
      <c r="F20" s="6"/>
      <c r="G20" s="6">
        <v>2</v>
      </c>
      <c r="H20" s="57" t="s">
        <v>76</v>
      </c>
      <c r="I20" s="262" t="s">
        <v>63</v>
      </c>
      <c r="J20" s="11">
        <v>6585</v>
      </c>
      <c r="K20" s="11">
        <v>6585</v>
      </c>
      <c r="L20" s="11">
        <v>6585</v>
      </c>
      <c r="M20" s="11">
        <v>5974</v>
      </c>
      <c r="N20" s="11">
        <f>3638+Z20</f>
        <v>4322</v>
      </c>
      <c r="O20" s="9">
        <f>+Z20</f>
        <v>684</v>
      </c>
      <c r="P20" s="11">
        <v>0</v>
      </c>
      <c r="Q20" s="11">
        <v>0</v>
      </c>
      <c r="R20" s="11">
        <v>395</v>
      </c>
      <c r="S20" s="11">
        <v>202</v>
      </c>
      <c r="T20" s="11">
        <v>387</v>
      </c>
      <c r="U20" s="11">
        <v>347</v>
      </c>
      <c r="V20" s="11">
        <v>293</v>
      </c>
      <c r="W20" s="11">
        <v>368</v>
      </c>
      <c r="X20" s="11">
        <v>396</v>
      </c>
      <c r="Y20" s="11">
        <v>1320</v>
      </c>
      <c r="Z20" s="11">
        <v>684</v>
      </c>
      <c r="AA20" s="11">
        <v>0</v>
      </c>
      <c r="AB20" s="11"/>
      <c r="AC20" s="11"/>
      <c r="AD20" s="11"/>
      <c r="AE20" s="11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  <c r="AS20" s="319"/>
      <c r="AT20" s="219"/>
      <c r="AU20" s="51"/>
      <c r="AV20" s="222">
        <v>6600</v>
      </c>
      <c r="AW20" s="223">
        <v>1208500908</v>
      </c>
      <c r="AX20" s="222">
        <v>6650</v>
      </c>
      <c r="AY20" s="223">
        <v>1268925957</v>
      </c>
      <c r="AZ20" s="222">
        <v>6700</v>
      </c>
      <c r="BA20" s="223">
        <v>1332372254</v>
      </c>
      <c r="BB20" s="222">
        <v>6750</v>
      </c>
      <c r="BC20" s="223">
        <v>1398990870</v>
      </c>
    </row>
    <row r="21" spans="1:55" ht="30" x14ac:dyDescent="0.25">
      <c r="A21" s="61"/>
      <c r="B21" s="6"/>
      <c r="C21" s="5">
        <v>2</v>
      </c>
      <c r="D21" s="5"/>
      <c r="E21" s="5"/>
      <c r="F21" s="5"/>
      <c r="G21" s="6"/>
      <c r="H21" s="56" t="s">
        <v>77</v>
      </c>
      <c r="I21" s="6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216"/>
      <c r="AG21" s="216"/>
      <c r="AH21" s="216"/>
      <c r="AI21" s="216"/>
      <c r="AJ21" s="216"/>
      <c r="AK21" s="216"/>
      <c r="AL21" s="216"/>
      <c r="AM21" s="216"/>
      <c r="AN21" s="216"/>
      <c r="AO21" s="216"/>
      <c r="AP21" s="216"/>
      <c r="AQ21" s="216"/>
      <c r="AR21" s="216"/>
      <c r="AS21" s="319"/>
      <c r="AT21" s="219"/>
      <c r="AU21" s="51"/>
      <c r="AV21" s="220"/>
      <c r="AW21" s="91"/>
      <c r="AX21" s="50"/>
      <c r="AY21" s="91"/>
      <c r="AZ21" s="50"/>
      <c r="BA21" s="78"/>
      <c r="BB21" s="50"/>
      <c r="BC21" s="78"/>
    </row>
    <row r="22" spans="1:55" x14ac:dyDescent="0.25">
      <c r="A22" s="61"/>
      <c r="B22" s="6"/>
      <c r="C22" s="5"/>
      <c r="D22" s="5">
        <v>0</v>
      </c>
      <c r="E22" s="5"/>
      <c r="F22" s="5"/>
      <c r="G22" s="6"/>
      <c r="H22" s="56" t="s">
        <v>31</v>
      </c>
      <c r="I22" s="6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  <c r="AS22" s="319"/>
      <c r="AT22" s="219"/>
      <c r="AU22" s="51"/>
      <c r="AV22" s="220"/>
      <c r="AW22" s="91"/>
      <c r="AX22" s="50"/>
      <c r="AY22" s="91"/>
      <c r="AZ22" s="50"/>
      <c r="BA22" s="78"/>
      <c r="BB22" s="50"/>
      <c r="BC22" s="78"/>
    </row>
    <row r="23" spans="1:55" ht="30" x14ac:dyDescent="0.3">
      <c r="A23" s="61"/>
      <c r="B23" s="6"/>
      <c r="C23" s="5"/>
      <c r="D23" s="5"/>
      <c r="E23" s="5">
        <v>1</v>
      </c>
      <c r="F23" s="5"/>
      <c r="G23" s="6"/>
      <c r="H23" s="56" t="s">
        <v>78</v>
      </c>
      <c r="I23" s="6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216">
        <v>5000000</v>
      </c>
      <c r="AC23" s="216">
        <v>5000000</v>
      </c>
      <c r="AD23" s="216">
        <v>5000000</v>
      </c>
      <c r="AE23" s="216">
        <v>0</v>
      </c>
      <c r="AF23" s="216">
        <f>+SUM(AH23:AS23)</f>
        <v>0</v>
      </c>
      <c r="AG23" s="97">
        <f>+AR23</f>
        <v>0</v>
      </c>
      <c r="AH23" s="216">
        <v>0</v>
      </c>
      <c r="AI23" s="216">
        <v>0</v>
      </c>
      <c r="AJ23" s="216">
        <v>0</v>
      </c>
      <c r="AK23" s="216">
        <v>0</v>
      </c>
      <c r="AL23" s="216">
        <v>0</v>
      </c>
      <c r="AM23" s="216">
        <v>0</v>
      </c>
      <c r="AN23" s="216">
        <v>0</v>
      </c>
      <c r="AO23" s="216">
        <v>0</v>
      </c>
      <c r="AP23" s="216">
        <v>0</v>
      </c>
      <c r="AQ23" s="216">
        <v>0</v>
      </c>
      <c r="AR23" s="216">
        <v>0</v>
      </c>
      <c r="AS23" s="319">
        <v>0</v>
      </c>
      <c r="AT23" s="217" t="e">
        <f>AG23/AE23</f>
        <v>#DIV/0!</v>
      </c>
      <c r="AU23" s="51"/>
      <c r="AV23" s="218"/>
      <c r="AW23" s="83"/>
      <c r="AX23" s="53"/>
      <c r="AY23" s="83"/>
      <c r="AZ23" s="53"/>
      <c r="BA23" s="84"/>
      <c r="BB23" s="53"/>
      <c r="BC23" s="84"/>
    </row>
    <row r="24" spans="1:55" ht="30" x14ac:dyDescent="0.3">
      <c r="A24" s="4">
        <v>4</v>
      </c>
      <c r="B24" s="5"/>
      <c r="C24" s="5"/>
      <c r="D24" s="5"/>
      <c r="E24" s="5"/>
      <c r="F24" s="5"/>
      <c r="G24" s="5">
        <v>1</v>
      </c>
      <c r="H24" s="56" t="s">
        <v>79</v>
      </c>
      <c r="I24" s="261" t="s">
        <v>64</v>
      </c>
      <c r="J24" s="9">
        <f>J25</f>
        <v>10</v>
      </c>
      <c r="K24" s="9">
        <f>K25</f>
        <v>10</v>
      </c>
      <c r="L24" s="9">
        <f>L25</f>
        <v>10</v>
      </c>
      <c r="M24" s="9">
        <f>M25</f>
        <v>10</v>
      </c>
      <c r="N24" s="9">
        <f>N25</f>
        <v>0</v>
      </c>
      <c r="O24" s="9">
        <v>0</v>
      </c>
      <c r="P24" s="9">
        <f t="shared" ref="P24:AA24" si="5">+P25</f>
        <v>0</v>
      </c>
      <c r="Q24" s="9">
        <f t="shared" si="5"/>
        <v>0</v>
      </c>
      <c r="R24" s="9">
        <f t="shared" si="5"/>
        <v>0</v>
      </c>
      <c r="S24" s="9">
        <f t="shared" si="5"/>
        <v>0</v>
      </c>
      <c r="T24" s="9">
        <f t="shared" si="5"/>
        <v>0</v>
      </c>
      <c r="U24" s="9">
        <f t="shared" si="5"/>
        <v>0</v>
      </c>
      <c r="V24" s="9">
        <f t="shared" si="5"/>
        <v>0</v>
      </c>
      <c r="W24" s="9">
        <f t="shared" si="5"/>
        <v>0</v>
      </c>
      <c r="X24" s="9">
        <f t="shared" si="5"/>
        <v>0</v>
      </c>
      <c r="Y24" s="9">
        <f t="shared" si="5"/>
        <v>0</v>
      </c>
      <c r="Z24" s="9">
        <f t="shared" si="5"/>
        <v>0</v>
      </c>
      <c r="AA24" s="9">
        <f t="shared" si="5"/>
        <v>0</v>
      </c>
      <c r="AB24" s="9"/>
      <c r="AC24" s="9"/>
      <c r="AD24" s="9"/>
      <c r="AE24" s="9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  <c r="AS24" s="319"/>
      <c r="AT24" s="217"/>
      <c r="AU24" s="79"/>
      <c r="AV24" s="92">
        <f t="shared" ref="AV24:BC24" si="6">+AV25</f>
        <v>10</v>
      </c>
      <c r="AW24" s="93">
        <f t="shared" si="6"/>
        <v>5000000</v>
      </c>
      <c r="AX24" s="92">
        <f t="shared" si="6"/>
        <v>10</v>
      </c>
      <c r="AY24" s="93">
        <f t="shared" si="6"/>
        <v>5000000</v>
      </c>
      <c r="AZ24" s="92">
        <f t="shared" si="6"/>
        <v>10</v>
      </c>
      <c r="BA24" s="93">
        <f t="shared" si="6"/>
        <v>5000000</v>
      </c>
      <c r="BB24" s="92">
        <f t="shared" si="6"/>
        <v>10</v>
      </c>
      <c r="BC24" s="93">
        <f t="shared" si="6"/>
        <v>5000000</v>
      </c>
    </row>
    <row r="25" spans="1:55" x14ac:dyDescent="0.25">
      <c r="A25" s="61"/>
      <c r="B25" s="6"/>
      <c r="C25" s="6"/>
      <c r="D25" s="6"/>
      <c r="E25" s="6"/>
      <c r="F25" s="6"/>
      <c r="G25" s="6">
        <v>3</v>
      </c>
      <c r="H25" s="57" t="s">
        <v>80</v>
      </c>
      <c r="I25" s="262" t="s">
        <v>64</v>
      </c>
      <c r="J25" s="11">
        <v>10</v>
      </c>
      <c r="K25" s="11">
        <v>10</v>
      </c>
      <c r="L25" s="11">
        <v>10</v>
      </c>
      <c r="M25" s="11">
        <v>10</v>
      </c>
      <c r="N25" s="11">
        <f>SUM(P25:AA25)</f>
        <v>0</v>
      </c>
      <c r="O25" s="11">
        <f>+Y25</f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9"/>
      <c r="AC25" s="9"/>
      <c r="AD25" s="9"/>
      <c r="AE25" s="9"/>
      <c r="AF25" s="216"/>
      <c r="AG25" s="216"/>
      <c r="AH25" s="216"/>
      <c r="AI25" s="216"/>
      <c r="AJ25" s="216"/>
      <c r="AK25" s="216"/>
      <c r="AL25" s="216"/>
      <c r="AM25" s="216"/>
      <c r="AN25" s="216"/>
      <c r="AO25" s="216"/>
      <c r="AP25" s="216"/>
      <c r="AQ25" s="216"/>
      <c r="AR25" s="216"/>
      <c r="AS25" s="319"/>
      <c r="AT25" s="219"/>
      <c r="AU25" s="51"/>
      <c r="AV25" s="222">
        <v>10</v>
      </c>
      <c r="AW25" s="223">
        <v>5000000</v>
      </c>
      <c r="AX25" s="222">
        <v>10</v>
      </c>
      <c r="AY25" s="223">
        <v>5000000</v>
      </c>
      <c r="AZ25" s="222">
        <v>10</v>
      </c>
      <c r="BA25" s="223">
        <v>5000000</v>
      </c>
      <c r="BB25" s="222">
        <v>10</v>
      </c>
      <c r="BC25" s="223">
        <v>5000000</v>
      </c>
    </row>
    <row r="26" spans="1:55" ht="30" x14ac:dyDescent="0.3">
      <c r="A26" s="61"/>
      <c r="B26" s="99"/>
      <c r="C26" s="99"/>
      <c r="D26" s="99"/>
      <c r="E26" s="96">
        <v>2</v>
      </c>
      <c r="F26" s="99"/>
      <c r="G26" s="99"/>
      <c r="H26" s="173" t="s">
        <v>81</v>
      </c>
      <c r="I26" s="99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97">
        <v>599046755</v>
      </c>
      <c r="AC26" s="97">
        <v>421530647</v>
      </c>
      <c r="AD26" s="97">
        <v>421530647</v>
      </c>
      <c r="AE26" s="97">
        <v>125686522</v>
      </c>
      <c r="AF26" s="207">
        <f>79853972.73+AG26</f>
        <v>81579853.660000011</v>
      </c>
      <c r="AG26" s="97">
        <f>+AR26</f>
        <v>1725880.93</v>
      </c>
      <c r="AH26" s="97">
        <v>0</v>
      </c>
      <c r="AI26" s="97">
        <v>260846.68</v>
      </c>
      <c r="AJ26" s="97">
        <v>0</v>
      </c>
      <c r="AK26" s="97">
        <v>10618019.779999999</v>
      </c>
      <c r="AL26" s="97">
        <v>12460135.07</v>
      </c>
      <c r="AM26" s="97">
        <v>13407849.279999999</v>
      </c>
      <c r="AN26" s="97">
        <v>4863622.83</v>
      </c>
      <c r="AO26" s="97">
        <v>8349979.4400000004</v>
      </c>
      <c r="AP26" s="97">
        <v>16233375.140000001</v>
      </c>
      <c r="AQ26" s="243">
        <v>6634395.3200000003</v>
      </c>
      <c r="AR26" s="97">
        <v>1725880.93</v>
      </c>
      <c r="AS26" s="318">
        <v>0</v>
      </c>
      <c r="AT26" s="85">
        <f>AG26/AE26</f>
        <v>1.3731630906295585E-2</v>
      </c>
      <c r="AU26" s="51"/>
      <c r="AV26" s="49"/>
      <c r="AW26" s="49"/>
      <c r="AX26" s="49"/>
      <c r="AY26" s="49"/>
      <c r="AZ26" s="49"/>
      <c r="BA26" s="49"/>
      <c r="BB26" s="49"/>
      <c r="BC26" s="49"/>
    </row>
    <row r="27" spans="1:55" ht="30" x14ac:dyDescent="0.3">
      <c r="A27" s="4">
        <v>4</v>
      </c>
      <c r="B27" s="96"/>
      <c r="C27" s="96"/>
      <c r="D27" s="96"/>
      <c r="E27" s="96"/>
      <c r="F27" s="96"/>
      <c r="G27" s="96">
        <v>1</v>
      </c>
      <c r="H27" s="173" t="s">
        <v>82</v>
      </c>
      <c r="I27" s="264" t="s">
        <v>63</v>
      </c>
      <c r="J27" s="176">
        <f>J28</f>
        <v>5206</v>
      </c>
      <c r="K27" s="176">
        <f>K28</f>
        <v>5353</v>
      </c>
      <c r="L27" s="176">
        <f>L28</f>
        <v>5353</v>
      </c>
      <c r="M27" s="176">
        <v>5626</v>
      </c>
      <c r="N27" s="208">
        <f>N28</f>
        <v>2604</v>
      </c>
      <c r="O27" s="9">
        <f>+Z27</f>
        <v>767</v>
      </c>
      <c r="P27" s="176">
        <f t="shared" ref="P27:AA27" si="7">+P28</f>
        <v>0</v>
      </c>
      <c r="Q27" s="176">
        <f t="shared" si="7"/>
        <v>0</v>
      </c>
      <c r="R27" s="176">
        <f t="shared" si="7"/>
        <v>2</v>
      </c>
      <c r="S27" s="176">
        <f t="shared" si="7"/>
        <v>3</v>
      </c>
      <c r="T27" s="176">
        <f t="shared" si="7"/>
        <v>247</v>
      </c>
      <c r="U27" s="176">
        <f t="shared" si="7"/>
        <v>386</v>
      </c>
      <c r="V27" s="203">
        <f t="shared" si="7"/>
        <v>204</v>
      </c>
      <c r="W27" s="176">
        <f t="shared" si="7"/>
        <v>285</v>
      </c>
      <c r="X27" s="176">
        <f t="shared" si="7"/>
        <v>396</v>
      </c>
      <c r="Y27" s="176">
        <v>314</v>
      </c>
      <c r="Z27" s="176">
        <v>767</v>
      </c>
      <c r="AA27" s="176">
        <f t="shared" si="7"/>
        <v>0</v>
      </c>
      <c r="AB27" s="176"/>
      <c r="AC27" s="176"/>
      <c r="AD27" s="176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318"/>
      <c r="AT27" s="85"/>
      <c r="AU27" s="79"/>
      <c r="AV27" s="92">
        <f t="shared" ref="AV27:BC27" si="8">+AV28</f>
        <v>5250</v>
      </c>
      <c r="AW27" s="93">
        <f t="shared" si="8"/>
        <v>628999095</v>
      </c>
      <c r="AX27" s="92">
        <f t="shared" si="8"/>
        <v>5300</v>
      </c>
      <c r="AY27" s="93">
        <f t="shared" si="8"/>
        <v>660449057</v>
      </c>
      <c r="AZ27" s="92">
        <f t="shared" si="8"/>
        <v>5350</v>
      </c>
      <c r="BA27" s="93">
        <f t="shared" si="8"/>
        <v>693471504</v>
      </c>
      <c r="BB27" s="92">
        <f t="shared" si="8"/>
        <v>5350</v>
      </c>
      <c r="BC27" s="93">
        <f t="shared" si="8"/>
        <v>728145082</v>
      </c>
    </row>
    <row r="28" spans="1:55" ht="27" x14ac:dyDescent="0.25">
      <c r="A28" s="61"/>
      <c r="B28" s="99"/>
      <c r="C28" s="99"/>
      <c r="D28" s="99"/>
      <c r="E28" s="99"/>
      <c r="F28" s="99"/>
      <c r="G28" s="99">
        <v>2</v>
      </c>
      <c r="H28" s="169" t="s">
        <v>82</v>
      </c>
      <c r="I28" s="265" t="s">
        <v>63</v>
      </c>
      <c r="J28" s="171">
        <v>5206</v>
      </c>
      <c r="K28" s="171">
        <v>5353</v>
      </c>
      <c r="L28" s="171">
        <v>5353</v>
      </c>
      <c r="M28" s="171">
        <v>5626</v>
      </c>
      <c r="N28" s="171">
        <f>SUM(P28:AA28)</f>
        <v>2604</v>
      </c>
      <c r="O28" s="9">
        <f>+Z28</f>
        <v>767</v>
      </c>
      <c r="P28" s="171">
        <v>0</v>
      </c>
      <c r="Q28" s="171">
        <v>0</v>
      </c>
      <c r="R28" s="171">
        <v>2</v>
      </c>
      <c r="S28" s="171">
        <v>3</v>
      </c>
      <c r="T28" s="171">
        <v>247</v>
      </c>
      <c r="U28" s="171">
        <v>386</v>
      </c>
      <c r="V28" s="171">
        <v>204</v>
      </c>
      <c r="W28" s="171">
        <v>285</v>
      </c>
      <c r="X28" s="171">
        <v>396</v>
      </c>
      <c r="Y28" s="171">
        <v>314</v>
      </c>
      <c r="Z28" s="171">
        <v>767</v>
      </c>
      <c r="AA28" s="171">
        <v>0</v>
      </c>
      <c r="AB28" s="171"/>
      <c r="AC28" s="171"/>
      <c r="AD28" s="171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318"/>
      <c r="AT28" s="89"/>
      <c r="AU28" s="51"/>
      <c r="AV28" s="90">
        <v>5250</v>
      </c>
      <c r="AW28" s="91">
        <v>628999095</v>
      </c>
      <c r="AX28" s="50">
        <v>5300</v>
      </c>
      <c r="AY28" s="91">
        <v>660449057</v>
      </c>
      <c r="AZ28" s="50">
        <v>5350</v>
      </c>
      <c r="BA28" s="78">
        <v>693471504</v>
      </c>
      <c r="BB28" s="50">
        <v>5350</v>
      </c>
      <c r="BC28" s="78">
        <v>728145082</v>
      </c>
    </row>
    <row r="29" spans="1:55" ht="45" x14ac:dyDescent="0.25">
      <c r="A29" s="61"/>
      <c r="B29" s="99"/>
      <c r="C29" s="96">
        <v>3</v>
      </c>
      <c r="D29" s="99"/>
      <c r="E29" s="99"/>
      <c r="F29" s="99"/>
      <c r="G29" s="99"/>
      <c r="H29" s="178" t="s">
        <v>235</v>
      </c>
      <c r="I29" s="265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318"/>
      <c r="AT29" s="89"/>
      <c r="AU29" s="51"/>
      <c r="AV29" s="165"/>
      <c r="AW29" s="166"/>
      <c r="AX29" s="167"/>
      <c r="AY29" s="166"/>
      <c r="AZ29" s="167"/>
      <c r="BA29" s="168"/>
      <c r="BB29" s="167"/>
      <c r="BC29" s="168"/>
    </row>
    <row r="30" spans="1:55" x14ac:dyDescent="0.25">
      <c r="A30" s="61"/>
      <c r="B30" s="99"/>
      <c r="C30" s="99"/>
      <c r="D30" s="96">
        <v>0</v>
      </c>
      <c r="E30" s="96"/>
      <c r="F30" s="96"/>
      <c r="G30" s="96"/>
      <c r="H30" s="178" t="s">
        <v>31</v>
      </c>
      <c r="I30" s="265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318"/>
      <c r="AT30" s="89"/>
      <c r="AU30" s="51"/>
      <c r="AV30" s="165"/>
      <c r="AW30" s="166"/>
      <c r="AX30" s="167"/>
      <c r="AY30" s="166"/>
      <c r="AZ30" s="167"/>
      <c r="BA30" s="168"/>
      <c r="BB30" s="167"/>
      <c r="BC30" s="168"/>
    </row>
    <row r="31" spans="1:55" ht="30" x14ac:dyDescent="0.25">
      <c r="A31" s="61"/>
      <c r="B31" s="99"/>
      <c r="C31" s="99"/>
      <c r="D31" s="99"/>
      <c r="E31" s="96">
        <v>1</v>
      </c>
      <c r="F31" s="96">
        <v>0</v>
      </c>
      <c r="G31" s="96"/>
      <c r="H31" s="178" t="s">
        <v>236</v>
      </c>
      <c r="I31" s="265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>
        <v>0</v>
      </c>
      <c r="AE31" s="97">
        <v>701484399.10000002</v>
      </c>
      <c r="AF31" s="97">
        <f>348072686.63+AG31</f>
        <v>523294694.16999996</v>
      </c>
      <c r="AG31" s="97">
        <f>+AR31</f>
        <v>175222007.53999999</v>
      </c>
      <c r="AH31" s="97">
        <v>0</v>
      </c>
      <c r="AI31" s="97">
        <v>0</v>
      </c>
      <c r="AJ31" s="97">
        <v>0</v>
      </c>
      <c r="AK31" s="97">
        <v>0</v>
      </c>
      <c r="AL31" s="97">
        <v>0</v>
      </c>
      <c r="AM31" s="97">
        <v>0</v>
      </c>
      <c r="AN31" s="97">
        <v>0</v>
      </c>
      <c r="AO31" s="97">
        <v>145016067.41</v>
      </c>
      <c r="AP31" s="97">
        <v>198602108.31</v>
      </c>
      <c r="AQ31" s="245">
        <v>4454511.09</v>
      </c>
      <c r="AR31" s="97">
        <v>175222007.53999999</v>
      </c>
      <c r="AS31" s="318">
        <v>0</v>
      </c>
      <c r="AT31" s="89"/>
      <c r="AU31" s="51"/>
      <c r="AV31" s="165"/>
      <c r="AW31" s="166"/>
      <c r="AX31" s="167"/>
      <c r="AY31" s="166"/>
      <c r="AZ31" s="167"/>
      <c r="BA31" s="168"/>
      <c r="BB31" s="167"/>
      <c r="BC31" s="168"/>
    </row>
    <row r="32" spans="1:55" ht="30" x14ac:dyDescent="0.25">
      <c r="A32" s="61"/>
      <c r="B32" s="99"/>
      <c r="C32" s="99"/>
      <c r="D32" s="99"/>
      <c r="E32" s="99"/>
      <c r="F32" s="99"/>
      <c r="G32" s="96">
        <v>1</v>
      </c>
      <c r="H32" s="178" t="s">
        <v>241</v>
      </c>
      <c r="I32" s="264" t="s">
        <v>63</v>
      </c>
      <c r="J32" s="171">
        <v>0</v>
      </c>
      <c r="K32" s="171">
        <v>0</v>
      </c>
      <c r="L32" s="171">
        <v>0</v>
      </c>
      <c r="M32" s="171">
        <f>SUM(M33:M35)</f>
        <v>1529</v>
      </c>
      <c r="N32" s="176">
        <f>731+Z32</f>
        <v>1070</v>
      </c>
      <c r="O32" s="9">
        <f>+Z32</f>
        <v>339</v>
      </c>
      <c r="P32" s="171">
        <v>0</v>
      </c>
      <c r="Q32" s="171">
        <v>0</v>
      </c>
      <c r="R32" s="171">
        <v>0</v>
      </c>
      <c r="S32" s="171">
        <v>0</v>
      </c>
      <c r="T32" s="171">
        <v>0</v>
      </c>
      <c r="U32" s="171">
        <v>0</v>
      </c>
      <c r="V32" s="171">
        <v>0</v>
      </c>
      <c r="W32" s="171">
        <f>+SUM(W33:W35)</f>
        <v>45</v>
      </c>
      <c r="X32" s="171">
        <v>445</v>
      </c>
      <c r="Y32" s="171">
        <v>241</v>
      </c>
      <c r="Z32" s="171">
        <v>339</v>
      </c>
      <c r="AA32" s="171">
        <v>0</v>
      </c>
      <c r="AB32" s="171"/>
      <c r="AC32" s="171"/>
      <c r="AD32" s="171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318"/>
      <c r="AT32" s="89"/>
      <c r="AU32" s="51"/>
      <c r="AV32" s="165"/>
      <c r="AW32" s="166"/>
      <c r="AX32" s="167"/>
      <c r="AY32" s="166"/>
      <c r="AZ32" s="167"/>
      <c r="BA32" s="168"/>
      <c r="BB32" s="167"/>
      <c r="BC32" s="168"/>
    </row>
    <row r="33" spans="1:55" x14ac:dyDescent="0.25">
      <c r="A33" s="61"/>
      <c r="B33" s="99"/>
      <c r="C33" s="99"/>
      <c r="D33" s="99"/>
      <c r="E33" s="99"/>
      <c r="F33" s="99"/>
      <c r="G33" s="99">
        <v>2</v>
      </c>
      <c r="H33" s="179" t="s">
        <v>237</v>
      </c>
      <c r="I33" s="265" t="s">
        <v>63</v>
      </c>
      <c r="J33" s="171">
        <v>0</v>
      </c>
      <c r="K33" s="171">
        <v>0</v>
      </c>
      <c r="L33" s="171">
        <v>0</v>
      </c>
      <c r="M33" s="171">
        <v>94</v>
      </c>
      <c r="N33" s="171">
        <f>SUM(P33:AA33)</f>
        <v>38</v>
      </c>
      <c r="O33" s="9">
        <f>+Z33</f>
        <v>0</v>
      </c>
      <c r="P33" s="171">
        <v>0</v>
      </c>
      <c r="Q33" s="171">
        <v>0</v>
      </c>
      <c r="R33" s="171">
        <v>0</v>
      </c>
      <c r="S33" s="171">
        <v>0</v>
      </c>
      <c r="T33" s="171">
        <v>0</v>
      </c>
      <c r="U33" s="171">
        <v>0</v>
      </c>
      <c r="V33" s="171">
        <v>0</v>
      </c>
      <c r="W33" s="171">
        <v>8</v>
      </c>
      <c r="X33" s="171">
        <v>8</v>
      </c>
      <c r="Y33" s="171">
        <v>22</v>
      </c>
      <c r="Z33" s="171">
        <v>0</v>
      </c>
      <c r="AA33" s="171">
        <v>0</v>
      </c>
      <c r="AB33" s="171"/>
      <c r="AC33" s="171"/>
      <c r="AD33" s="171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>
        <v>28049268.620000001</v>
      </c>
      <c r="AP33" s="97"/>
      <c r="AQ33" s="97"/>
      <c r="AR33" s="97"/>
      <c r="AS33" s="318"/>
      <c r="AT33" s="89"/>
      <c r="AU33" s="51"/>
      <c r="AV33" s="165"/>
      <c r="AW33" s="166"/>
      <c r="AX33" s="167"/>
      <c r="AY33" s="166"/>
      <c r="AZ33" s="167"/>
      <c r="BA33" s="168"/>
      <c r="BB33" s="167"/>
      <c r="BC33" s="168"/>
    </row>
    <row r="34" spans="1:55" x14ac:dyDescent="0.25">
      <c r="A34" s="61"/>
      <c r="B34" s="99"/>
      <c r="C34" s="99"/>
      <c r="D34" s="99"/>
      <c r="E34" s="99"/>
      <c r="F34" s="99"/>
      <c r="G34" s="99">
        <v>3</v>
      </c>
      <c r="H34" s="179" t="s">
        <v>242</v>
      </c>
      <c r="I34" s="265" t="s">
        <v>63</v>
      </c>
      <c r="J34" s="171">
        <v>0</v>
      </c>
      <c r="K34" s="171">
        <v>0</v>
      </c>
      <c r="L34" s="171">
        <v>0</v>
      </c>
      <c r="M34" s="171">
        <v>228</v>
      </c>
      <c r="N34" s="171">
        <f>SUM(P34:AA34)</f>
        <v>99</v>
      </c>
      <c r="O34" s="9">
        <f>+Z34</f>
        <v>0</v>
      </c>
      <c r="P34" s="171">
        <v>0</v>
      </c>
      <c r="Q34" s="171">
        <v>0</v>
      </c>
      <c r="R34" s="171">
        <v>0</v>
      </c>
      <c r="S34" s="171">
        <v>0</v>
      </c>
      <c r="T34" s="171">
        <v>0</v>
      </c>
      <c r="U34" s="171">
        <v>0</v>
      </c>
      <c r="V34" s="171">
        <v>0</v>
      </c>
      <c r="W34" s="171">
        <v>37</v>
      </c>
      <c r="X34" s="171">
        <v>42</v>
      </c>
      <c r="Y34" s="171">
        <v>20</v>
      </c>
      <c r="Z34" s="171">
        <v>0</v>
      </c>
      <c r="AA34" s="171">
        <v>0</v>
      </c>
      <c r="AB34" s="171"/>
      <c r="AC34" s="171"/>
      <c r="AD34" s="171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>
        <v>89082828.25</v>
      </c>
      <c r="AP34" s="97"/>
      <c r="AQ34" s="97"/>
      <c r="AR34" s="97"/>
      <c r="AS34" s="318"/>
      <c r="AT34" s="89"/>
      <c r="AU34" s="51"/>
      <c r="AV34" s="165"/>
      <c r="AW34" s="166"/>
      <c r="AX34" s="167"/>
      <c r="AY34" s="166"/>
      <c r="AZ34" s="167"/>
      <c r="BA34" s="168"/>
      <c r="BB34" s="167"/>
      <c r="BC34" s="168"/>
    </row>
    <row r="35" spans="1:55" x14ac:dyDescent="0.25">
      <c r="A35" s="61"/>
      <c r="B35" s="99"/>
      <c r="C35" s="99"/>
      <c r="D35" s="99"/>
      <c r="E35" s="99"/>
      <c r="F35" s="99"/>
      <c r="G35" s="99">
        <v>4</v>
      </c>
      <c r="H35" s="179" t="s">
        <v>243</v>
      </c>
      <c r="I35" s="265" t="s">
        <v>63</v>
      </c>
      <c r="J35" s="171">
        <v>0</v>
      </c>
      <c r="K35" s="171">
        <v>0</v>
      </c>
      <c r="L35" s="171">
        <v>0</v>
      </c>
      <c r="M35" s="171">
        <v>1207</v>
      </c>
      <c r="N35" s="171">
        <f>SUM(P35:AA35)</f>
        <v>886</v>
      </c>
      <c r="O35" s="9">
        <f>+Z35</f>
        <v>0</v>
      </c>
      <c r="P35" s="171">
        <v>0</v>
      </c>
      <c r="Q35" s="171">
        <v>0</v>
      </c>
      <c r="R35" s="171">
        <v>0</v>
      </c>
      <c r="S35" s="171">
        <v>0</v>
      </c>
      <c r="T35" s="171">
        <v>0</v>
      </c>
      <c r="U35" s="171">
        <v>0</v>
      </c>
      <c r="V35" s="171">
        <v>0</v>
      </c>
      <c r="W35" s="171">
        <v>0</v>
      </c>
      <c r="X35" s="171">
        <v>753</v>
      </c>
      <c r="Y35" s="171">
        <v>133</v>
      </c>
      <c r="Z35" s="171">
        <v>0</v>
      </c>
      <c r="AA35" s="171">
        <v>0</v>
      </c>
      <c r="AB35" s="171"/>
      <c r="AC35" s="171"/>
      <c r="AD35" s="171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>
        <v>27883970.539999999</v>
      </c>
      <c r="AP35" s="97"/>
      <c r="AQ35" s="97"/>
      <c r="AR35" s="97"/>
      <c r="AS35" s="318"/>
      <c r="AT35" s="89"/>
      <c r="AU35" s="51"/>
      <c r="AV35" s="165"/>
      <c r="AW35" s="166"/>
      <c r="AX35" s="167"/>
      <c r="AY35" s="166"/>
      <c r="AZ35" s="167"/>
      <c r="BA35" s="168"/>
      <c r="BB35" s="167"/>
      <c r="BC35" s="168"/>
    </row>
    <row r="36" spans="1:55" ht="30" x14ac:dyDescent="0.25">
      <c r="A36" s="61"/>
      <c r="B36" s="99"/>
      <c r="C36" s="99"/>
      <c r="D36" s="99"/>
      <c r="E36" s="96">
        <v>2</v>
      </c>
      <c r="F36" s="96">
        <v>0</v>
      </c>
      <c r="G36" s="96"/>
      <c r="H36" s="178" t="s">
        <v>244</v>
      </c>
      <c r="I36" s="265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>
        <v>0</v>
      </c>
      <c r="AE36" s="97">
        <v>296559583.54000002</v>
      </c>
      <c r="AF36" s="97">
        <f>119475613.1+AG36</f>
        <v>235808116.74000001</v>
      </c>
      <c r="AG36" s="97">
        <f>+AR36</f>
        <v>116332503.64</v>
      </c>
      <c r="AH36" s="97">
        <v>0</v>
      </c>
      <c r="AI36" s="97">
        <v>0</v>
      </c>
      <c r="AJ36" s="97">
        <v>0</v>
      </c>
      <c r="AK36" s="97">
        <v>0</v>
      </c>
      <c r="AL36" s="97">
        <v>0</v>
      </c>
      <c r="AM36" s="97">
        <v>0</v>
      </c>
      <c r="AN36" s="97">
        <v>0</v>
      </c>
      <c r="AO36" s="97">
        <v>0</v>
      </c>
      <c r="AP36" s="97">
        <v>63400497.310000002</v>
      </c>
      <c r="AQ36" s="58">
        <v>1185197.1100000001</v>
      </c>
      <c r="AR36" s="97">
        <v>116332503.64</v>
      </c>
      <c r="AS36" s="318">
        <v>0</v>
      </c>
      <c r="AT36" s="89"/>
      <c r="AU36" s="51"/>
      <c r="AV36" s="165"/>
      <c r="AW36" s="166"/>
      <c r="AX36" s="167"/>
      <c r="AY36" s="166"/>
      <c r="AZ36" s="167"/>
      <c r="BA36" s="168"/>
      <c r="BB36" s="167"/>
      <c r="BC36" s="168"/>
    </row>
    <row r="37" spans="1:55" ht="30" x14ac:dyDescent="0.25">
      <c r="A37" s="61"/>
      <c r="B37" s="99"/>
      <c r="C37" s="99"/>
      <c r="D37" s="99"/>
      <c r="E37" s="99"/>
      <c r="F37" s="99"/>
      <c r="G37" s="96">
        <v>1</v>
      </c>
      <c r="H37" s="178" t="s">
        <v>245</v>
      </c>
      <c r="I37" s="264" t="s">
        <v>63</v>
      </c>
      <c r="J37" s="171">
        <v>0</v>
      </c>
      <c r="K37" s="171">
        <v>0</v>
      </c>
      <c r="L37" s="171">
        <v>0</v>
      </c>
      <c r="M37" s="171">
        <f>SUM(M38:M39)</f>
        <v>218</v>
      </c>
      <c r="N37" s="171">
        <f>154+Z37</f>
        <v>184</v>
      </c>
      <c r="O37" s="9">
        <f>+Z37</f>
        <v>30</v>
      </c>
      <c r="P37" s="171">
        <v>0</v>
      </c>
      <c r="Q37" s="171">
        <v>0</v>
      </c>
      <c r="R37" s="171">
        <v>0</v>
      </c>
      <c r="S37" s="171">
        <v>0</v>
      </c>
      <c r="T37" s="171">
        <v>0</v>
      </c>
      <c r="U37" s="171">
        <v>0</v>
      </c>
      <c r="V37" s="171">
        <v>0</v>
      </c>
      <c r="W37" s="171">
        <v>0</v>
      </c>
      <c r="X37" s="171">
        <v>121</v>
      </c>
      <c r="Y37" s="171">
        <v>6</v>
      </c>
      <c r="Z37" s="171">
        <v>30</v>
      </c>
      <c r="AA37" s="171">
        <v>0</v>
      </c>
      <c r="AB37" s="171"/>
      <c r="AC37" s="171"/>
      <c r="AD37" s="171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318"/>
      <c r="AT37" s="89"/>
      <c r="AU37" s="51"/>
      <c r="AV37" s="165"/>
      <c r="AW37" s="166"/>
      <c r="AX37" s="167"/>
      <c r="AY37" s="166"/>
      <c r="AZ37" s="167"/>
      <c r="BA37" s="168"/>
      <c r="BB37" s="167"/>
      <c r="BC37" s="168"/>
    </row>
    <row r="38" spans="1:55" x14ac:dyDescent="0.25">
      <c r="A38" s="61"/>
      <c r="B38" s="99"/>
      <c r="C38" s="99"/>
      <c r="D38" s="99"/>
      <c r="E38" s="99"/>
      <c r="F38" s="99"/>
      <c r="G38" s="99">
        <v>2</v>
      </c>
      <c r="H38" s="179" t="s">
        <v>242</v>
      </c>
      <c r="I38" s="265" t="s">
        <v>63</v>
      </c>
      <c r="J38" s="171">
        <v>0</v>
      </c>
      <c r="K38" s="171">
        <v>0</v>
      </c>
      <c r="L38" s="171">
        <v>0</v>
      </c>
      <c r="M38" s="171">
        <v>99</v>
      </c>
      <c r="N38" s="171">
        <f>SUM(P38:AA38)</f>
        <v>42</v>
      </c>
      <c r="O38" s="9">
        <f>+Z38</f>
        <v>0</v>
      </c>
      <c r="P38" s="171">
        <v>0</v>
      </c>
      <c r="Q38" s="171">
        <v>0</v>
      </c>
      <c r="R38" s="171">
        <v>0</v>
      </c>
      <c r="S38" s="171">
        <v>0</v>
      </c>
      <c r="T38" s="171">
        <v>0</v>
      </c>
      <c r="U38" s="171">
        <v>0</v>
      </c>
      <c r="V38" s="171">
        <v>0</v>
      </c>
      <c r="W38" s="171">
        <v>11</v>
      </c>
      <c r="X38" s="171">
        <v>26</v>
      </c>
      <c r="Y38" s="171">
        <v>5</v>
      </c>
      <c r="Z38" s="171">
        <v>0</v>
      </c>
      <c r="AA38" s="171">
        <v>0</v>
      </c>
      <c r="AB38" s="171"/>
      <c r="AC38" s="171"/>
      <c r="AD38" s="171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318"/>
      <c r="AT38" s="89"/>
      <c r="AU38" s="51"/>
      <c r="AV38" s="165"/>
      <c r="AW38" s="166"/>
      <c r="AX38" s="167"/>
      <c r="AY38" s="166"/>
      <c r="AZ38" s="167"/>
      <c r="BA38" s="168"/>
      <c r="BB38" s="167"/>
      <c r="BC38" s="168"/>
    </row>
    <row r="39" spans="1:55" x14ac:dyDescent="0.25">
      <c r="A39" s="61"/>
      <c r="B39" s="99"/>
      <c r="C39" s="99"/>
      <c r="D39" s="99"/>
      <c r="E39" s="99"/>
      <c r="F39" s="99"/>
      <c r="G39" s="99">
        <v>3</v>
      </c>
      <c r="H39" s="179" t="s">
        <v>243</v>
      </c>
      <c r="I39" s="265" t="s">
        <v>63</v>
      </c>
      <c r="J39" s="171">
        <v>0</v>
      </c>
      <c r="K39" s="171">
        <v>0</v>
      </c>
      <c r="L39" s="171">
        <v>0</v>
      </c>
      <c r="M39" s="171">
        <v>119</v>
      </c>
      <c r="N39" s="171">
        <v>115</v>
      </c>
      <c r="O39" s="9">
        <f>+Z39</f>
        <v>0</v>
      </c>
      <c r="P39" s="171">
        <v>0</v>
      </c>
      <c r="Q39" s="171">
        <v>0</v>
      </c>
      <c r="R39" s="171">
        <v>0</v>
      </c>
      <c r="S39" s="171">
        <v>0</v>
      </c>
      <c r="T39" s="171">
        <v>0</v>
      </c>
      <c r="U39" s="171">
        <v>0</v>
      </c>
      <c r="V39" s="171">
        <v>0</v>
      </c>
      <c r="W39" s="171">
        <v>25.21</v>
      </c>
      <c r="X39" s="171">
        <v>78</v>
      </c>
      <c r="Y39" s="171">
        <v>7</v>
      </c>
      <c r="Z39" s="171">
        <v>0</v>
      </c>
      <c r="AA39" s="171">
        <v>0</v>
      </c>
      <c r="AB39" s="171"/>
      <c r="AC39" s="171"/>
      <c r="AD39" s="171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318"/>
      <c r="AT39" s="89"/>
      <c r="AU39" s="51"/>
      <c r="AV39" s="165"/>
      <c r="AW39" s="166"/>
      <c r="AX39" s="167"/>
      <c r="AY39" s="166"/>
      <c r="AZ39" s="167"/>
      <c r="BA39" s="168"/>
      <c r="BB39" s="167"/>
      <c r="BC39" s="168"/>
    </row>
    <row r="40" spans="1:55" ht="30" x14ac:dyDescent="0.25">
      <c r="A40" s="61"/>
      <c r="B40" s="99"/>
      <c r="C40" s="99"/>
      <c r="D40" s="99"/>
      <c r="E40" s="96">
        <v>3</v>
      </c>
      <c r="F40" s="96">
        <v>0</v>
      </c>
      <c r="G40" s="96"/>
      <c r="H40" s="178" t="s">
        <v>246</v>
      </c>
      <c r="I40" s="265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>
        <v>0</v>
      </c>
      <c r="AE40" s="97">
        <v>360116818.45999998</v>
      </c>
      <c r="AF40" s="97">
        <f>177082114.78+AG40</f>
        <v>279550258.01999998</v>
      </c>
      <c r="AG40" s="97">
        <f>+AR40</f>
        <v>102468143.23999999</v>
      </c>
      <c r="AH40" s="97">
        <v>0</v>
      </c>
      <c r="AI40" s="97">
        <v>0</v>
      </c>
      <c r="AJ40" s="97">
        <v>0</v>
      </c>
      <c r="AK40" s="97">
        <v>0</v>
      </c>
      <c r="AL40" s="97">
        <v>0</v>
      </c>
      <c r="AM40" s="97">
        <v>0</v>
      </c>
      <c r="AN40" s="97">
        <v>0</v>
      </c>
      <c r="AO40" s="97">
        <v>0</v>
      </c>
      <c r="AP40" s="97">
        <v>75880624.109999999</v>
      </c>
      <c r="AQ40" s="58">
        <v>1107477.74</v>
      </c>
      <c r="AR40" s="97">
        <v>102468143.23999999</v>
      </c>
      <c r="AS40" s="318">
        <v>0</v>
      </c>
      <c r="AT40" s="89"/>
      <c r="AU40" s="51"/>
      <c r="AV40" s="165"/>
      <c r="AW40" s="166"/>
      <c r="AX40" s="167"/>
      <c r="AY40" s="166"/>
      <c r="AZ40" s="167"/>
      <c r="BA40" s="168"/>
      <c r="BB40" s="167"/>
      <c r="BC40" s="168"/>
    </row>
    <row r="41" spans="1:55" ht="30" x14ac:dyDescent="0.25">
      <c r="A41" s="61"/>
      <c r="B41" s="99"/>
      <c r="C41" s="99"/>
      <c r="D41" s="99"/>
      <c r="E41" s="96"/>
      <c r="F41" s="96"/>
      <c r="G41" s="96">
        <v>1</v>
      </c>
      <c r="H41" s="178" t="s">
        <v>247</v>
      </c>
      <c r="I41" s="264" t="s">
        <v>63</v>
      </c>
      <c r="J41" s="171">
        <v>0</v>
      </c>
      <c r="K41" s="171">
        <v>0</v>
      </c>
      <c r="L41" s="171">
        <v>0</v>
      </c>
      <c r="M41" s="171">
        <f>SUM(M42:M43)</f>
        <v>467</v>
      </c>
      <c r="N41" s="171">
        <f>277+Z41</f>
        <v>425</v>
      </c>
      <c r="O41" s="9">
        <f>+Z41</f>
        <v>148</v>
      </c>
      <c r="P41" s="171">
        <v>0</v>
      </c>
      <c r="Q41" s="171">
        <v>0</v>
      </c>
      <c r="R41" s="171">
        <v>0</v>
      </c>
      <c r="S41" s="171">
        <v>0</v>
      </c>
      <c r="T41" s="171">
        <v>0</v>
      </c>
      <c r="U41" s="171">
        <v>0</v>
      </c>
      <c r="V41" s="171">
        <v>0</v>
      </c>
      <c r="W41" s="171">
        <v>0</v>
      </c>
      <c r="X41" s="171">
        <v>195</v>
      </c>
      <c r="Y41" s="171">
        <v>44</v>
      </c>
      <c r="Z41" s="171">
        <v>148</v>
      </c>
      <c r="AA41" s="171">
        <v>0</v>
      </c>
      <c r="AB41" s="171"/>
      <c r="AC41" s="171"/>
      <c r="AD41" s="171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318"/>
      <c r="AT41" s="89"/>
      <c r="AU41" s="51"/>
      <c r="AV41" s="165"/>
      <c r="AW41" s="166"/>
      <c r="AX41" s="167"/>
      <c r="AY41" s="166"/>
      <c r="AZ41" s="167"/>
      <c r="BA41" s="168"/>
      <c r="BB41" s="167"/>
      <c r="BC41" s="168"/>
    </row>
    <row r="42" spans="1:55" x14ac:dyDescent="0.25">
      <c r="A42" s="61"/>
      <c r="B42" s="99"/>
      <c r="C42" s="99"/>
      <c r="D42" s="99"/>
      <c r="E42" s="96"/>
      <c r="F42" s="96"/>
      <c r="G42" s="99">
        <v>2</v>
      </c>
      <c r="H42" s="179" t="s">
        <v>242</v>
      </c>
      <c r="I42" s="265" t="s">
        <v>63</v>
      </c>
      <c r="J42" s="171">
        <v>0</v>
      </c>
      <c r="K42" s="171">
        <v>0</v>
      </c>
      <c r="L42" s="171">
        <v>0</v>
      </c>
      <c r="M42" s="171">
        <v>180</v>
      </c>
      <c r="N42" s="171">
        <v>88</v>
      </c>
      <c r="O42" s="9">
        <f>+Z42</f>
        <v>0</v>
      </c>
      <c r="P42" s="171">
        <v>0</v>
      </c>
      <c r="Q42" s="171">
        <v>0</v>
      </c>
      <c r="R42" s="171">
        <v>0</v>
      </c>
      <c r="S42" s="171">
        <v>0</v>
      </c>
      <c r="T42" s="171">
        <v>0</v>
      </c>
      <c r="U42" s="171">
        <v>0</v>
      </c>
      <c r="V42" s="171">
        <v>0</v>
      </c>
      <c r="W42" s="171">
        <v>0</v>
      </c>
      <c r="X42" s="171">
        <v>40</v>
      </c>
      <c r="Y42" s="171">
        <v>10</v>
      </c>
      <c r="Z42" s="171">
        <v>0</v>
      </c>
      <c r="AA42" s="171">
        <v>0</v>
      </c>
      <c r="AB42" s="171"/>
      <c r="AC42" s="171"/>
      <c r="AD42" s="171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318"/>
      <c r="AT42" s="89"/>
      <c r="AU42" s="51"/>
      <c r="AV42" s="165"/>
      <c r="AW42" s="166"/>
      <c r="AX42" s="167"/>
      <c r="AY42" s="166"/>
      <c r="AZ42" s="167"/>
      <c r="BA42" s="168"/>
      <c r="BB42" s="167"/>
      <c r="BC42" s="168"/>
    </row>
    <row r="43" spans="1:55" x14ac:dyDescent="0.25">
      <c r="A43" s="61"/>
      <c r="B43" s="99"/>
      <c r="C43" s="99"/>
      <c r="D43" s="99"/>
      <c r="E43" s="96"/>
      <c r="F43" s="96"/>
      <c r="G43" s="99">
        <v>3</v>
      </c>
      <c r="H43" s="179" t="s">
        <v>243</v>
      </c>
      <c r="I43" s="265" t="s">
        <v>63</v>
      </c>
      <c r="J43" s="171">
        <v>0</v>
      </c>
      <c r="K43" s="171">
        <v>0</v>
      </c>
      <c r="L43" s="171">
        <v>0</v>
      </c>
      <c r="M43" s="171">
        <v>287</v>
      </c>
      <c r="N43" s="171">
        <v>185</v>
      </c>
      <c r="O43" s="9">
        <f>+Z43</f>
        <v>0</v>
      </c>
      <c r="P43" s="171">
        <v>0</v>
      </c>
      <c r="Q43" s="171">
        <v>0</v>
      </c>
      <c r="R43" s="171">
        <v>0</v>
      </c>
      <c r="S43" s="171">
        <v>0</v>
      </c>
      <c r="T43" s="171">
        <v>0</v>
      </c>
      <c r="U43" s="171">
        <v>0</v>
      </c>
      <c r="V43" s="171">
        <v>0</v>
      </c>
      <c r="W43" s="171">
        <v>0</v>
      </c>
      <c r="X43" s="171">
        <v>155</v>
      </c>
      <c r="Y43" s="171">
        <v>30</v>
      </c>
      <c r="Z43" s="171">
        <v>0</v>
      </c>
      <c r="AA43" s="171">
        <v>0</v>
      </c>
      <c r="AB43" s="171"/>
      <c r="AC43" s="171"/>
      <c r="AD43" s="171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318"/>
      <c r="AT43" s="89"/>
      <c r="AU43" s="51"/>
      <c r="AV43" s="165"/>
      <c r="AW43" s="166"/>
      <c r="AX43" s="167"/>
      <c r="AY43" s="166"/>
      <c r="AZ43" s="167"/>
      <c r="BA43" s="168"/>
      <c r="BB43" s="167"/>
      <c r="BC43" s="168"/>
    </row>
    <row r="44" spans="1:55" ht="30" x14ac:dyDescent="0.25">
      <c r="A44" s="61"/>
      <c r="B44" s="99"/>
      <c r="C44" s="99"/>
      <c r="D44" s="99"/>
      <c r="E44" s="96">
        <v>4</v>
      </c>
      <c r="F44" s="96">
        <v>0</v>
      </c>
      <c r="G44" s="96"/>
      <c r="H44" s="178" t="s">
        <v>238</v>
      </c>
      <c r="I44" s="265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>
        <v>0</v>
      </c>
      <c r="AE44" s="97">
        <v>10000000</v>
      </c>
      <c r="AF44" s="97">
        <f>+SUM(AH44:AS44)</f>
        <v>5977344.25</v>
      </c>
      <c r="AG44" s="97">
        <f>+AR44</f>
        <v>5977344.25</v>
      </c>
      <c r="AH44" s="97">
        <v>0</v>
      </c>
      <c r="AI44" s="97">
        <v>0</v>
      </c>
      <c r="AJ44" s="97">
        <v>0</v>
      </c>
      <c r="AK44" s="97">
        <v>0</v>
      </c>
      <c r="AL44" s="97">
        <v>0</v>
      </c>
      <c r="AM44" s="97">
        <v>0</v>
      </c>
      <c r="AN44" s="97">
        <v>0</v>
      </c>
      <c r="AO44" s="97">
        <v>0</v>
      </c>
      <c r="AP44" s="97">
        <v>0</v>
      </c>
      <c r="AQ44" s="97">
        <v>0</v>
      </c>
      <c r="AR44" s="97">
        <v>5977344.25</v>
      </c>
      <c r="AS44" s="318">
        <v>0</v>
      </c>
      <c r="AT44" s="89"/>
      <c r="AU44" s="51"/>
      <c r="AV44" s="165"/>
      <c r="AW44" s="166"/>
      <c r="AX44" s="167"/>
      <c r="AY44" s="166"/>
      <c r="AZ44" s="167"/>
      <c r="BA44" s="168"/>
      <c r="BB44" s="167"/>
      <c r="BC44" s="168"/>
    </row>
    <row r="45" spans="1:55" ht="30" x14ac:dyDescent="0.25">
      <c r="A45" s="61"/>
      <c r="B45" s="99"/>
      <c r="C45" s="99"/>
      <c r="D45" s="99"/>
      <c r="E45" s="99"/>
      <c r="F45" s="99"/>
      <c r="G45" s="96">
        <v>1</v>
      </c>
      <c r="H45" s="178" t="s">
        <v>239</v>
      </c>
      <c r="I45" s="266" t="s">
        <v>34</v>
      </c>
      <c r="J45" s="171">
        <v>0</v>
      </c>
      <c r="K45" s="171">
        <v>0</v>
      </c>
      <c r="L45" s="171">
        <v>0</v>
      </c>
      <c r="M45" s="171">
        <f>M46</f>
        <v>1</v>
      </c>
      <c r="N45" s="171">
        <f>SUM(P45:AA45)</f>
        <v>1</v>
      </c>
      <c r="O45" s="9">
        <f>+Z45</f>
        <v>1</v>
      </c>
      <c r="P45" s="171">
        <v>0</v>
      </c>
      <c r="Q45" s="171">
        <v>0</v>
      </c>
      <c r="R45" s="171">
        <v>0</v>
      </c>
      <c r="S45" s="171">
        <v>0</v>
      </c>
      <c r="T45" s="171">
        <v>0</v>
      </c>
      <c r="U45" s="171">
        <v>0</v>
      </c>
      <c r="V45" s="171">
        <v>0</v>
      </c>
      <c r="W45" s="171">
        <v>0</v>
      </c>
      <c r="X45" s="171">
        <v>0</v>
      </c>
      <c r="Y45" s="171">
        <v>0</v>
      </c>
      <c r="Z45" s="171">
        <v>1</v>
      </c>
      <c r="AA45" s="171">
        <v>0</v>
      </c>
      <c r="AB45" s="171"/>
      <c r="AC45" s="171"/>
      <c r="AD45" s="171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318"/>
      <c r="AT45" s="89"/>
      <c r="AU45" s="51"/>
      <c r="AV45" s="165"/>
      <c r="AW45" s="166"/>
      <c r="AX45" s="167"/>
      <c r="AY45" s="166"/>
      <c r="AZ45" s="167"/>
      <c r="BA45" s="168"/>
      <c r="BB45" s="167"/>
      <c r="BC45" s="168"/>
    </row>
    <row r="46" spans="1:55" x14ac:dyDescent="0.25">
      <c r="A46" s="61"/>
      <c r="B46" s="99"/>
      <c r="C46" s="99"/>
      <c r="D46" s="99"/>
      <c r="E46" s="99"/>
      <c r="F46" s="99"/>
      <c r="G46" s="99">
        <v>2</v>
      </c>
      <c r="H46" s="179" t="s">
        <v>248</v>
      </c>
      <c r="I46" s="267" t="s">
        <v>34</v>
      </c>
      <c r="J46" s="171">
        <v>0</v>
      </c>
      <c r="K46" s="171">
        <v>0</v>
      </c>
      <c r="L46" s="171">
        <v>0</v>
      </c>
      <c r="M46" s="171">
        <v>1</v>
      </c>
      <c r="N46" s="171">
        <f>SUM(P46:AA46)</f>
        <v>0</v>
      </c>
      <c r="O46" s="9">
        <f>+Z46</f>
        <v>0</v>
      </c>
      <c r="P46" s="171">
        <v>0</v>
      </c>
      <c r="Q46" s="171">
        <v>0</v>
      </c>
      <c r="R46" s="171">
        <v>0</v>
      </c>
      <c r="S46" s="171">
        <v>0</v>
      </c>
      <c r="T46" s="171">
        <v>0</v>
      </c>
      <c r="U46" s="171">
        <v>0</v>
      </c>
      <c r="V46" s="171">
        <v>0</v>
      </c>
      <c r="W46" s="171">
        <v>0</v>
      </c>
      <c r="X46" s="171">
        <v>0</v>
      </c>
      <c r="Y46" s="171">
        <v>0</v>
      </c>
      <c r="Z46" s="171">
        <v>0</v>
      </c>
      <c r="AA46" s="171">
        <v>0</v>
      </c>
      <c r="AB46" s="171"/>
      <c r="AC46" s="171"/>
      <c r="AD46" s="171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318"/>
      <c r="AT46" s="89"/>
      <c r="AU46" s="51"/>
      <c r="AV46" s="165"/>
      <c r="AW46" s="166"/>
      <c r="AX46" s="167"/>
      <c r="AY46" s="166"/>
      <c r="AZ46" s="167"/>
      <c r="BA46" s="168"/>
      <c r="BB46" s="167"/>
      <c r="BC46" s="168"/>
    </row>
    <row r="47" spans="1:55" ht="30" x14ac:dyDescent="0.25">
      <c r="A47" s="4"/>
      <c r="B47" s="5">
        <v>94</v>
      </c>
      <c r="C47" s="5"/>
      <c r="D47" s="5"/>
      <c r="E47" s="5"/>
      <c r="F47" s="5"/>
      <c r="G47" s="5"/>
      <c r="H47" s="54" t="s">
        <v>231</v>
      </c>
      <c r="I47" s="254"/>
      <c r="J47" s="59"/>
      <c r="K47" s="59"/>
      <c r="L47" s="59"/>
      <c r="M47" s="59"/>
      <c r="N47" s="11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320"/>
      <c r="AT47" s="94"/>
      <c r="AU47" s="94"/>
      <c r="AV47" s="94"/>
      <c r="AW47" s="94"/>
      <c r="AX47" s="94"/>
      <c r="AY47" s="94"/>
      <c r="AZ47" s="94"/>
      <c r="BA47" s="94"/>
      <c r="BB47" s="94"/>
      <c r="BC47" s="94"/>
    </row>
    <row r="48" spans="1:55" ht="45" x14ac:dyDescent="0.25">
      <c r="A48" s="4"/>
      <c r="B48" s="5"/>
      <c r="C48" s="5">
        <v>11</v>
      </c>
      <c r="D48" s="5"/>
      <c r="E48" s="5"/>
      <c r="F48" s="5"/>
      <c r="G48" s="5"/>
      <c r="H48" s="54" t="s">
        <v>232</v>
      </c>
      <c r="I48" s="254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320"/>
      <c r="AT48" s="94"/>
      <c r="AU48" s="94"/>
      <c r="AV48" s="94"/>
      <c r="AW48" s="94"/>
      <c r="AX48" s="94"/>
      <c r="AY48" s="94"/>
      <c r="AZ48" s="94"/>
      <c r="BA48" s="94"/>
      <c r="BB48" s="94"/>
      <c r="BC48" s="94"/>
    </row>
    <row r="49" spans="1:55" ht="45" x14ac:dyDescent="0.25">
      <c r="A49" s="4"/>
      <c r="B49" s="5"/>
      <c r="C49" s="5"/>
      <c r="D49" s="5"/>
      <c r="E49" s="5">
        <v>1</v>
      </c>
      <c r="F49" s="5">
        <v>0</v>
      </c>
      <c r="G49" s="5"/>
      <c r="H49" s="54" t="s">
        <v>233</v>
      </c>
      <c r="I49" s="254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320"/>
      <c r="AT49" s="94"/>
      <c r="AU49" s="94"/>
      <c r="AV49" s="94"/>
      <c r="AW49" s="94"/>
      <c r="AX49" s="94"/>
      <c r="AY49" s="94"/>
      <c r="AZ49" s="94"/>
      <c r="BA49" s="94"/>
      <c r="BB49" s="94"/>
      <c r="BC49" s="94"/>
    </row>
    <row r="50" spans="1:55" ht="30" x14ac:dyDescent="0.25">
      <c r="A50" s="4"/>
      <c r="B50" s="5"/>
      <c r="C50" s="5"/>
      <c r="D50" s="5"/>
      <c r="E50" s="5"/>
      <c r="F50" s="5"/>
      <c r="G50" s="5">
        <v>1</v>
      </c>
      <c r="H50" s="54" t="s">
        <v>234</v>
      </c>
      <c r="I50" s="254" t="s">
        <v>64</v>
      </c>
      <c r="J50" s="59">
        <f>J51</f>
        <v>0</v>
      </c>
      <c r="K50" s="59">
        <f>K51</f>
        <v>0</v>
      </c>
      <c r="L50" s="59">
        <f>L51</f>
        <v>0</v>
      </c>
      <c r="M50" s="59">
        <f>M51</f>
        <v>134</v>
      </c>
      <c r="N50" s="128">
        <v>122</v>
      </c>
      <c r="O50" s="9">
        <f>+Z50</f>
        <v>0</v>
      </c>
      <c r="P50" s="130">
        <f>P51</f>
        <v>0</v>
      </c>
      <c r="Q50" s="130">
        <f>Q51</f>
        <v>0</v>
      </c>
      <c r="R50" s="130">
        <f t="shared" ref="R50:AA50" si="9">R51</f>
        <v>39</v>
      </c>
      <c r="S50" s="130">
        <f t="shared" si="9"/>
        <v>34</v>
      </c>
      <c r="T50" s="130">
        <f t="shared" si="9"/>
        <v>10</v>
      </c>
      <c r="U50" s="130">
        <f t="shared" si="9"/>
        <v>4</v>
      </c>
      <c r="V50" s="130">
        <f t="shared" si="9"/>
        <v>0</v>
      </c>
      <c r="W50" s="59">
        <f t="shared" si="9"/>
        <v>0</v>
      </c>
      <c r="X50" s="59">
        <f t="shared" si="9"/>
        <v>0</v>
      </c>
      <c r="Y50" s="59">
        <v>12</v>
      </c>
      <c r="Z50" s="59">
        <f t="shared" si="9"/>
        <v>0</v>
      </c>
      <c r="AA50" s="59">
        <f t="shared" si="9"/>
        <v>0</v>
      </c>
      <c r="AB50" s="60">
        <v>0</v>
      </c>
      <c r="AC50" s="60">
        <v>0</v>
      </c>
      <c r="AD50" s="60">
        <v>0</v>
      </c>
      <c r="AE50" s="60">
        <v>491169275</v>
      </c>
      <c r="AF50" s="60">
        <f>422942606.57+AG50</f>
        <v>433813183.55000001</v>
      </c>
      <c r="AG50" s="97">
        <f>+AR50</f>
        <v>10870576.98</v>
      </c>
      <c r="AH50" s="59">
        <v>0</v>
      </c>
      <c r="AI50" s="59">
        <v>77250200.530000001</v>
      </c>
      <c r="AJ50" s="59">
        <v>24800848.550000001</v>
      </c>
      <c r="AK50" s="59">
        <v>61516877.100000001</v>
      </c>
      <c r="AL50" s="59">
        <v>52981772.880000003</v>
      </c>
      <c r="AM50" s="59">
        <v>38806164.670000002</v>
      </c>
      <c r="AN50" s="205"/>
      <c r="AO50" s="59"/>
      <c r="AP50" s="59"/>
      <c r="AQ50" s="97">
        <v>12988784.140000001</v>
      </c>
      <c r="AR50" s="59">
        <v>10870576.98</v>
      </c>
      <c r="AS50" s="320"/>
      <c r="AT50" s="94"/>
      <c r="AU50" s="94"/>
      <c r="AV50" s="94"/>
      <c r="AW50" s="94"/>
      <c r="AX50" s="94"/>
      <c r="AY50" s="94"/>
      <c r="AZ50" s="94"/>
      <c r="BA50" s="94"/>
      <c r="BB50" s="94"/>
      <c r="BC50" s="94"/>
    </row>
    <row r="51" spans="1:55" ht="27" x14ac:dyDescent="0.25">
      <c r="A51" s="61"/>
      <c r="B51" s="6"/>
      <c r="C51" s="6"/>
      <c r="D51" s="6"/>
      <c r="E51" s="6"/>
      <c r="F51" s="6"/>
      <c r="G51" s="6">
        <v>2</v>
      </c>
      <c r="H51" s="114" t="s">
        <v>234</v>
      </c>
      <c r="I51" s="211" t="s">
        <v>64</v>
      </c>
      <c r="J51" s="59">
        <v>0</v>
      </c>
      <c r="K51" s="59">
        <v>0</v>
      </c>
      <c r="L51" s="59">
        <v>0</v>
      </c>
      <c r="M51" s="59">
        <v>134</v>
      </c>
      <c r="N51" s="130">
        <v>122</v>
      </c>
      <c r="O51" s="9">
        <f>+Z51</f>
        <v>0</v>
      </c>
      <c r="P51" s="130">
        <v>0</v>
      </c>
      <c r="Q51" s="130">
        <v>0</v>
      </c>
      <c r="R51" s="130">
        <v>39</v>
      </c>
      <c r="S51" s="130">
        <v>34</v>
      </c>
      <c r="T51" s="130">
        <v>10</v>
      </c>
      <c r="U51" s="130">
        <v>4</v>
      </c>
      <c r="V51" s="130">
        <v>0</v>
      </c>
      <c r="W51" s="59">
        <v>0</v>
      </c>
      <c r="X51" s="59">
        <v>0</v>
      </c>
      <c r="Y51" s="59">
        <v>12</v>
      </c>
      <c r="Z51" s="59">
        <v>0</v>
      </c>
      <c r="AA51" s="59">
        <v>0</v>
      </c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320"/>
      <c r="AT51" s="94"/>
      <c r="AU51" s="94"/>
      <c r="AV51" s="94"/>
      <c r="AW51" s="94"/>
      <c r="AX51" s="94"/>
      <c r="AY51" s="94"/>
      <c r="AZ51" s="94"/>
      <c r="BA51" s="94"/>
      <c r="BB51" s="94"/>
      <c r="BC51" s="94"/>
    </row>
    <row r="52" spans="1:55" ht="45" x14ac:dyDescent="0.25">
      <c r="A52" s="61"/>
      <c r="B52" s="6"/>
      <c r="C52" s="6"/>
      <c r="D52" s="6"/>
      <c r="E52" s="6"/>
      <c r="F52" s="6"/>
      <c r="G52" s="6"/>
      <c r="H52" s="54" t="s">
        <v>252</v>
      </c>
      <c r="I52" s="211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325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</row>
    <row r="53" spans="1:55" ht="75" x14ac:dyDescent="0.25">
      <c r="A53" s="61"/>
      <c r="B53" s="6"/>
      <c r="C53" s="6">
        <v>14</v>
      </c>
      <c r="D53" s="6"/>
      <c r="E53" s="6"/>
      <c r="F53" s="6"/>
      <c r="G53" s="6"/>
      <c r="H53" s="54" t="s">
        <v>253</v>
      </c>
      <c r="I53" s="211"/>
      <c r="J53" s="59"/>
      <c r="K53" s="59"/>
      <c r="L53" s="59">
        <v>0</v>
      </c>
      <c r="M53" s="59">
        <v>45</v>
      </c>
      <c r="N53" s="59">
        <v>44</v>
      </c>
      <c r="O53" s="9">
        <f>+Z53</f>
        <v>0</v>
      </c>
      <c r="P53" s="59"/>
      <c r="Q53" s="59"/>
      <c r="R53" s="59"/>
      <c r="S53" s="59"/>
      <c r="T53" s="59"/>
      <c r="U53" s="59"/>
      <c r="V53" s="59"/>
      <c r="W53" s="59"/>
      <c r="X53" s="59"/>
      <c r="Y53" s="59">
        <v>21</v>
      </c>
      <c r="Z53" s="59"/>
      <c r="AA53" s="59"/>
      <c r="AB53" s="59"/>
      <c r="AC53" s="59"/>
      <c r="AD53" s="59">
        <v>0</v>
      </c>
      <c r="AE53" s="60">
        <v>427854684.49000001</v>
      </c>
      <c r="AF53" s="60">
        <f>313003813.95+AG53</f>
        <v>379762523.39999998</v>
      </c>
      <c r="AG53" s="97">
        <f>+AR53</f>
        <v>66758709.450000003</v>
      </c>
      <c r="AH53" s="59"/>
      <c r="AI53" s="59"/>
      <c r="AJ53" s="59"/>
      <c r="AK53" s="59"/>
      <c r="AL53" s="59"/>
      <c r="AM53" s="59"/>
      <c r="AN53" s="59"/>
      <c r="AO53" s="59"/>
      <c r="AP53" s="59"/>
      <c r="AQ53" s="59">
        <v>99999999.010000005</v>
      </c>
      <c r="AR53" s="326">
        <v>66758709.450000003</v>
      </c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</row>
    <row r="54" spans="1:55" ht="67.5" x14ac:dyDescent="0.25">
      <c r="A54" s="61"/>
      <c r="B54" s="6"/>
      <c r="C54" s="6"/>
      <c r="D54" s="6"/>
      <c r="E54" s="6">
        <v>1</v>
      </c>
      <c r="F54" s="6"/>
      <c r="G54" s="6"/>
      <c r="H54" s="114" t="s">
        <v>254</v>
      </c>
      <c r="I54" s="211" t="s">
        <v>64</v>
      </c>
      <c r="J54" s="59">
        <v>0</v>
      </c>
      <c r="K54" s="59">
        <v>0</v>
      </c>
      <c r="L54" s="59">
        <v>0</v>
      </c>
      <c r="M54" s="59">
        <v>45</v>
      </c>
      <c r="N54" s="59">
        <v>44</v>
      </c>
      <c r="O54" s="9">
        <f>+Z54</f>
        <v>0</v>
      </c>
      <c r="P54" s="59"/>
      <c r="Q54" s="59"/>
      <c r="R54" s="59"/>
      <c r="S54" s="59"/>
      <c r="T54" s="59"/>
      <c r="U54" s="59"/>
      <c r="V54" s="59"/>
      <c r="W54" s="59">
        <v>0</v>
      </c>
      <c r="X54" s="59"/>
      <c r="Y54" s="59">
        <v>21</v>
      </c>
      <c r="Z54" s="59"/>
      <c r="AA54" s="59"/>
      <c r="AB54" s="59">
        <v>0</v>
      </c>
      <c r="AC54" s="59">
        <v>0</v>
      </c>
      <c r="AD54" s="59"/>
      <c r="AE54" s="60"/>
      <c r="AF54" s="60"/>
      <c r="AG54" s="97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325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</row>
    <row r="55" spans="1:55" ht="135" x14ac:dyDescent="0.25">
      <c r="A55" s="61"/>
      <c r="B55" s="6"/>
      <c r="C55" s="6">
        <v>15</v>
      </c>
      <c r="D55" s="6"/>
      <c r="E55" s="6"/>
      <c r="F55" s="6"/>
      <c r="G55" s="6"/>
      <c r="H55" s="54" t="s">
        <v>262</v>
      </c>
      <c r="I55" s="211" t="s">
        <v>64</v>
      </c>
      <c r="J55" s="59"/>
      <c r="K55" s="59"/>
      <c r="L55" s="59">
        <v>0</v>
      </c>
      <c r="M55" s="59">
        <v>94</v>
      </c>
      <c r="N55" s="59">
        <v>0</v>
      </c>
      <c r="O55" s="9">
        <f>+Z55</f>
        <v>0</v>
      </c>
      <c r="P55" s="59"/>
      <c r="Q55" s="59"/>
      <c r="R55" s="59"/>
      <c r="S55" s="59"/>
      <c r="T55" s="59"/>
      <c r="U55" s="59"/>
      <c r="V55" s="59"/>
      <c r="W55" s="59"/>
      <c r="X55" s="59"/>
      <c r="Y55" s="59">
        <v>0</v>
      </c>
      <c r="Z55" s="59"/>
      <c r="AA55" s="59"/>
      <c r="AB55" s="59"/>
      <c r="AC55" s="59"/>
      <c r="AD55" s="59"/>
      <c r="AE55" s="59"/>
      <c r="AF55" s="59"/>
      <c r="AG55" s="60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325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94"/>
    </row>
    <row r="56" spans="1:55" ht="41.25" thickBot="1" x14ac:dyDescent="0.3">
      <c r="A56" s="62"/>
      <c r="B56" s="63"/>
      <c r="C56" s="63"/>
      <c r="D56" s="63"/>
      <c r="E56" s="63">
        <v>1</v>
      </c>
      <c r="F56" s="63"/>
      <c r="G56" s="63"/>
      <c r="H56" s="64" t="s">
        <v>263</v>
      </c>
      <c r="I56" s="258" t="s">
        <v>64</v>
      </c>
      <c r="J56" s="263">
        <v>0</v>
      </c>
      <c r="K56" s="263">
        <v>0</v>
      </c>
      <c r="L56" s="263">
        <v>0</v>
      </c>
      <c r="M56" s="263">
        <v>94</v>
      </c>
      <c r="N56" s="263">
        <v>0</v>
      </c>
      <c r="O56" s="9">
        <f>+Z56</f>
        <v>0</v>
      </c>
      <c r="P56" s="263"/>
      <c r="Q56" s="263"/>
      <c r="R56" s="263"/>
      <c r="S56" s="263"/>
      <c r="T56" s="263"/>
      <c r="U56" s="263"/>
      <c r="V56" s="263"/>
      <c r="W56" s="263">
        <v>0</v>
      </c>
      <c r="X56" s="263"/>
      <c r="Y56" s="263">
        <v>0</v>
      </c>
      <c r="Z56" s="263"/>
      <c r="AA56" s="263"/>
      <c r="AB56" s="59">
        <v>0</v>
      </c>
      <c r="AC56" s="59">
        <v>0</v>
      </c>
      <c r="AD56" s="59">
        <v>0</v>
      </c>
      <c r="AE56" s="59">
        <v>0</v>
      </c>
      <c r="AF56" s="59">
        <v>0</v>
      </c>
      <c r="AG56" s="97">
        <f>+AR56</f>
        <v>0</v>
      </c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325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94"/>
    </row>
    <row r="57" spans="1:55" x14ac:dyDescent="0.25">
      <c r="A57" s="94"/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</row>
    <row r="58" spans="1:55" x14ac:dyDescent="0.25">
      <c r="A58" s="94"/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</row>
    <row r="59" spans="1:55" x14ac:dyDescent="0.25">
      <c r="A59" s="94"/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94"/>
      <c r="BB59" s="94"/>
      <c r="BC59" s="94"/>
    </row>
    <row r="60" spans="1:55" x14ac:dyDescent="0.25">
      <c r="A60" s="94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4"/>
      <c r="BC60" s="94"/>
    </row>
    <row r="61" spans="1:55" x14ac:dyDescent="0.25">
      <c r="A61" s="94"/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6"/>
      <c r="X61" s="226"/>
      <c r="Y61" s="226"/>
      <c r="Z61" s="94"/>
      <c r="AA61" s="94"/>
      <c r="AB61" s="94"/>
      <c r="AC61" s="94"/>
      <c r="AD61" s="226"/>
      <c r="AE61" s="226"/>
      <c r="AF61" s="226"/>
      <c r="AG61" s="226"/>
      <c r="AH61" s="226">
        <f t="shared" ref="AH61:AQ61" si="10">SUM(AH7:AH56)</f>
        <v>1216400.69</v>
      </c>
      <c r="AI61" s="226">
        <f t="shared" si="10"/>
        <v>101077916.88</v>
      </c>
      <c r="AJ61" s="226">
        <f t="shared" si="10"/>
        <v>70255378.319999993</v>
      </c>
      <c r="AK61" s="226">
        <f t="shared" si="10"/>
        <v>121726850.16</v>
      </c>
      <c r="AL61" s="226">
        <f t="shared" si="10"/>
        <v>111462344.03</v>
      </c>
      <c r="AM61" s="226">
        <f t="shared" si="10"/>
        <v>119118013.03</v>
      </c>
      <c r="AN61" s="226">
        <f t="shared" si="10"/>
        <v>274954458.35000002</v>
      </c>
      <c r="AO61" s="226">
        <f t="shared" si="10"/>
        <v>348196854.66000003</v>
      </c>
      <c r="AP61" s="226">
        <f t="shared" si="10"/>
        <v>370556342.68000001</v>
      </c>
      <c r="AQ61" s="226">
        <f t="shared" si="10"/>
        <v>253471191.94</v>
      </c>
      <c r="AR61" s="94"/>
      <c r="AS61" s="94"/>
      <c r="AT61" s="94"/>
      <c r="AU61" s="94"/>
      <c r="AV61" s="94"/>
      <c r="AW61" s="94"/>
      <c r="AX61" s="94"/>
      <c r="AY61" s="94"/>
      <c r="AZ61" s="94"/>
      <c r="BA61" s="94"/>
      <c r="BB61" s="94"/>
      <c r="BC61" s="94"/>
    </row>
    <row r="62" spans="1:55" x14ac:dyDescent="0.25">
      <c r="A62" s="94"/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226"/>
      <c r="AH62" s="94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  <c r="AZ62" s="94"/>
      <c r="BA62" s="94"/>
      <c r="BB62" s="94"/>
      <c r="BC62" s="94"/>
    </row>
    <row r="63" spans="1:55" x14ac:dyDescent="0.25">
      <c r="A63" s="94"/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</row>
    <row r="64" spans="1:55" x14ac:dyDescent="0.25">
      <c r="A64" s="94"/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226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</row>
    <row r="65" spans="1:55" x14ac:dyDescent="0.25">
      <c r="A65" s="94"/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</row>
    <row r="66" spans="1:55" x14ac:dyDescent="0.25">
      <c r="A66" s="94"/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</row>
    <row r="67" spans="1:55" x14ac:dyDescent="0.25">
      <c r="AE67" s="94"/>
    </row>
    <row r="68" spans="1:55" x14ac:dyDescent="0.25">
      <c r="H68" t="s">
        <v>218</v>
      </c>
    </row>
    <row r="69" spans="1:55" x14ac:dyDescent="0.25">
      <c r="H69" t="s">
        <v>219</v>
      </c>
    </row>
  </sheetData>
  <mergeCells count="7">
    <mergeCell ref="AX5:AY5"/>
    <mergeCell ref="AZ5:BA5"/>
    <mergeCell ref="BB5:BC5"/>
    <mergeCell ref="A5:I5"/>
    <mergeCell ref="J5:O5"/>
    <mergeCell ref="AB5:AG5"/>
    <mergeCell ref="AV5:AW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DC89A-E22B-4F70-9C08-34B96FDC749E}">
  <dimension ref="A1:Q83"/>
  <sheetViews>
    <sheetView topLeftCell="C57" workbookViewId="0">
      <selection activeCell="Q59" sqref="Q59"/>
    </sheetView>
  </sheetViews>
  <sheetFormatPr baseColWidth="10" defaultRowHeight="15" x14ac:dyDescent="0.25"/>
  <cols>
    <col min="1" max="1" width="50.42578125" style="292" bestFit="1" customWidth="1"/>
  </cols>
  <sheetData>
    <row r="1" spans="1:2" x14ac:dyDescent="0.25">
      <c r="A1" s="291" t="s">
        <v>266</v>
      </c>
    </row>
    <row r="2" spans="1:2" x14ac:dyDescent="0.25">
      <c r="B2" t="s">
        <v>267</v>
      </c>
    </row>
    <row r="3" spans="1:2" x14ac:dyDescent="0.25">
      <c r="B3" t="s">
        <v>268</v>
      </c>
    </row>
    <row r="4" spans="1:2" x14ac:dyDescent="0.25">
      <c r="B4" t="s">
        <v>269</v>
      </c>
    </row>
    <row r="6" spans="1:2" x14ac:dyDescent="0.25">
      <c r="A6" s="292" t="s">
        <v>112</v>
      </c>
    </row>
    <row r="7" spans="1:2" x14ac:dyDescent="0.25">
      <c r="B7" t="s">
        <v>272</v>
      </c>
    </row>
    <row r="8" spans="1:2" x14ac:dyDescent="0.25">
      <c r="B8" t="s">
        <v>273</v>
      </c>
    </row>
    <row r="9" spans="1:2" x14ac:dyDescent="0.25">
      <c r="B9" t="s">
        <v>274</v>
      </c>
    </row>
    <row r="10" spans="1:2" x14ac:dyDescent="0.25">
      <c r="B10" t="s">
        <v>275</v>
      </c>
    </row>
    <row r="11" spans="1:2" x14ac:dyDescent="0.25">
      <c r="B11" t="s">
        <v>276</v>
      </c>
    </row>
    <row r="12" spans="1:2" x14ac:dyDescent="0.25">
      <c r="B12" t="s">
        <v>277</v>
      </c>
    </row>
    <row r="13" spans="1:2" x14ac:dyDescent="0.25">
      <c r="B13" t="s">
        <v>278</v>
      </c>
    </row>
    <row r="14" spans="1:2" x14ac:dyDescent="0.25">
      <c r="B14" t="s">
        <v>279</v>
      </c>
    </row>
    <row r="16" spans="1:2" x14ac:dyDescent="0.25">
      <c r="A16" s="292" t="s">
        <v>58</v>
      </c>
    </row>
    <row r="17" spans="1:2" x14ac:dyDescent="0.25">
      <c r="B17" t="s">
        <v>280</v>
      </c>
    </row>
    <row r="18" spans="1:2" x14ac:dyDescent="0.25">
      <c r="B18" t="s">
        <v>281</v>
      </c>
    </row>
    <row r="19" spans="1:2" x14ac:dyDescent="0.25">
      <c r="B19" t="s">
        <v>282</v>
      </c>
    </row>
    <row r="20" spans="1:2" x14ac:dyDescent="0.25">
      <c r="B20" t="s">
        <v>283</v>
      </c>
    </row>
    <row r="21" spans="1:2" x14ac:dyDescent="0.25">
      <c r="A21" s="292" t="s">
        <v>284</v>
      </c>
    </row>
    <row r="22" spans="1:2" x14ac:dyDescent="0.25">
      <c r="B22" t="s">
        <v>285</v>
      </c>
    </row>
    <row r="24" spans="1:2" x14ac:dyDescent="0.25">
      <c r="A24" s="292" t="s">
        <v>77</v>
      </c>
    </row>
    <row r="25" spans="1:2" x14ac:dyDescent="0.25">
      <c r="B25" t="s">
        <v>286</v>
      </c>
    </row>
    <row r="26" spans="1:2" x14ac:dyDescent="0.25">
      <c r="B26" t="s">
        <v>287</v>
      </c>
    </row>
    <row r="27" spans="1:2" x14ac:dyDescent="0.25">
      <c r="B27" t="s">
        <v>288</v>
      </c>
    </row>
    <row r="28" spans="1:2" x14ac:dyDescent="0.25">
      <c r="B28" t="s">
        <v>289</v>
      </c>
    </row>
    <row r="29" spans="1:2" x14ac:dyDescent="0.25">
      <c r="B29" t="s">
        <v>290</v>
      </c>
    </row>
    <row r="30" spans="1:2" x14ac:dyDescent="0.25">
      <c r="B30" t="s">
        <v>291</v>
      </c>
    </row>
    <row r="31" spans="1:2" x14ac:dyDescent="0.25">
      <c r="A31" s="292" t="s">
        <v>71</v>
      </c>
    </row>
    <row r="32" spans="1:2" x14ac:dyDescent="0.25">
      <c r="B32" t="s">
        <v>292</v>
      </c>
    </row>
    <row r="33" spans="1:2" x14ac:dyDescent="0.25">
      <c r="B33" t="s">
        <v>293</v>
      </c>
    </row>
    <row r="34" spans="1:2" x14ac:dyDescent="0.25">
      <c r="B34" t="s">
        <v>294</v>
      </c>
    </row>
    <row r="35" spans="1:2" x14ac:dyDescent="0.25">
      <c r="B35" t="s">
        <v>295</v>
      </c>
    </row>
    <row r="36" spans="1:2" x14ac:dyDescent="0.25">
      <c r="B36" t="s">
        <v>296</v>
      </c>
    </row>
    <row r="37" spans="1:2" x14ac:dyDescent="0.25">
      <c r="B37" t="s">
        <v>297</v>
      </c>
    </row>
    <row r="38" spans="1:2" x14ac:dyDescent="0.25">
      <c r="B38" t="s">
        <v>298</v>
      </c>
    </row>
    <row r="39" spans="1:2" x14ac:dyDescent="0.25">
      <c r="B39" t="s">
        <v>299</v>
      </c>
    </row>
    <row r="40" spans="1:2" x14ac:dyDescent="0.25">
      <c r="B40" t="s">
        <v>300</v>
      </c>
    </row>
    <row r="41" spans="1:2" x14ac:dyDescent="0.25">
      <c r="A41" s="292" t="s">
        <v>301</v>
      </c>
    </row>
    <row r="42" spans="1:2" x14ac:dyDescent="0.25">
      <c r="B42" t="s">
        <v>302</v>
      </c>
    </row>
    <row r="43" spans="1:2" x14ac:dyDescent="0.25">
      <c r="B43" s="290" t="s">
        <v>303</v>
      </c>
    </row>
    <row r="44" spans="1:2" x14ac:dyDescent="0.25">
      <c r="B44" t="s">
        <v>304</v>
      </c>
    </row>
    <row r="45" spans="1:2" x14ac:dyDescent="0.25">
      <c r="B45" t="s">
        <v>305</v>
      </c>
    </row>
    <row r="46" spans="1:2" x14ac:dyDescent="0.25">
      <c r="B46" t="s">
        <v>306</v>
      </c>
    </row>
    <row r="48" spans="1:2" x14ac:dyDescent="0.25">
      <c r="A48" s="291" t="s">
        <v>307</v>
      </c>
    </row>
    <row r="49" spans="1:17" x14ac:dyDescent="0.25">
      <c r="B49" t="s">
        <v>308</v>
      </c>
    </row>
    <row r="50" spans="1:17" x14ac:dyDescent="0.25">
      <c r="B50" t="s">
        <v>309</v>
      </c>
    </row>
    <row r="51" spans="1:17" x14ac:dyDescent="0.25">
      <c r="B51" t="s">
        <v>310</v>
      </c>
    </row>
    <row r="52" spans="1:17" x14ac:dyDescent="0.25">
      <c r="B52" t="s">
        <v>311</v>
      </c>
    </row>
    <row r="53" spans="1:17" x14ac:dyDescent="0.25">
      <c r="B53" t="s">
        <v>310</v>
      </c>
    </row>
    <row r="54" spans="1:17" x14ac:dyDescent="0.25">
      <c r="B54" t="s">
        <v>312</v>
      </c>
    </row>
    <row r="55" spans="1:17" x14ac:dyDescent="0.25">
      <c r="B55" t="s">
        <v>313</v>
      </c>
    </row>
    <row r="56" spans="1:17" x14ac:dyDescent="0.25">
      <c r="B56" t="s">
        <v>314</v>
      </c>
    </row>
    <row r="57" spans="1:17" x14ac:dyDescent="0.25">
      <c r="B57" t="s">
        <v>312</v>
      </c>
      <c r="P57" t="s">
        <v>340</v>
      </c>
      <c r="Q57" t="s">
        <v>341</v>
      </c>
    </row>
    <row r="58" spans="1:17" x14ac:dyDescent="0.25">
      <c r="B58" t="s">
        <v>315</v>
      </c>
      <c r="P58" t="s">
        <v>342</v>
      </c>
      <c r="Q58" t="s">
        <v>341</v>
      </c>
    </row>
    <row r="59" spans="1:17" x14ac:dyDescent="0.25">
      <c r="B59" t="s">
        <v>316</v>
      </c>
    </row>
    <row r="60" spans="1:17" x14ac:dyDescent="0.25">
      <c r="B60" t="s">
        <v>317</v>
      </c>
    </row>
    <row r="61" spans="1:17" x14ac:dyDescent="0.25">
      <c r="B61" t="s">
        <v>318</v>
      </c>
    </row>
    <row r="62" spans="1:17" x14ac:dyDescent="0.25">
      <c r="A62" s="292" t="s">
        <v>319</v>
      </c>
    </row>
    <row r="63" spans="1:17" x14ac:dyDescent="0.25">
      <c r="B63" t="s">
        <v>320</v>
      </c>
    </row>
    <row r="64" spans="1:17" x14ac:dyDescent="0.25">
      <c r="B64" t="s">
        <v>321</v>
      </c>
    </row>
    <row r="65" spans="1:2" x14ac:dyDescent="0.25">
      <c r="B65" t="s">
        <v>322</v>
      </c>
    </row>
    <row r="66" spans="1:2" x14ac:dyDescent="0.25">
      <c r="B66" t="s">
        <v>323</v>
      </c>
    </row>
    <row r="67" spans="1:2" x14ac:dyDescent="0.25">
      <c r="A67" s="292" t="s">
        <v>334</v>
      </c>
    </row>
    <row r="68" spans="1:2" x14ac:dyDescent="0.25">
      <c r="B68" t="s">
        <v>324</v>
      </c>
    </row>
    <row r="69" spans="1:2" x14ac:dyDescent="0.25">
      <c r="B69" t="s">
        <v>325</v>
      </c>
    </row>
    <row r="70" spans="1:2" x14ac:dyDescent="0.25">
      <c r="B70" t="s">
        <v>326</v>
      </c>
    </row>
    <row r="71" spans="1:2" x14ac:dyDescent="0.25">
      <c r="B71" t="s">
        <v>327</v>
      </c>
    </row>
    <row r="72" spans="1:2" x14ac:dyDescent="0.25">
      <c r="B72" t="s">
        <v>328</v>
      </c>
    </row>
    <row r="73" spans="1:2" x14ac:dyDescent="0.25">
      <c r="B73" t="s">
        <v>329</v>
      </c>
    </row>
    <row r="74" spans="1:2" x14ac:dyDescent="0.25">
      <c r="B74" t="s">
        <v>325</v>
      </c>
    </row>
    <row r="75" spans="1:2" x14ac:dyDescent="0.25">
      <c r="B75" t="s">
        <v>330</v>
      </c>
    </row>
    <row r="76" spans="1:2" x14ac:dyDescent="0.25">
      <c r="B76" t="s">
        <v>331</v>
      </c>
    </row>
    <row r="77" spans="1:2" x14ac:dyDescent="0.25">
      <c r="B77" t="s">
        <v>332</v>
      </c>
    </row>
    <row r="78" spans="1:2" x14ac:dyDescent="0.25">
      <c r="B78" t="s">
        <v>333</v>
      </c>
    </row>
    <row r="79" spans="1:2" x14ac:dyDescent="0.25">
      <c r="A79" s="292" t="s">
        <v>335</v>
      </c>
    </row>
    <row r="80" spans="1:2" x14ac:dyDescent="0.25">
      <c r="B80" t="s">
        <v>336</v>
      </c>
    </row>
    <row r="81" spans="2:2" x14ac:dyDescent="0.25">
      <c r="B81" t="s">
        <v>337</v>
      </c>
    </row>
    <row r="82" spans="2:2" x14ac:dyDescent="0.25">
      <c r="B82" t="s">
        <v>338</v>
      </c>
    </row>
    <row r="83" spans="2:2" x14ac:dyDescent="0.25">
      <c r="B83" t="s">
        <v>339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9" tint="-0.249977111117893"/>
  </sheetPr>
  <dimension ref="A1:BC35"/>
  <sheetViews>
    <sheetView topLeftCell="F7" zoomScale="85" zoomScaleNormal="85" workbookViewId="0">
      <selection activeCell="M21" sqref="M21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hidden="1" customWidth="1"/>
    <col min="12" max="13" width="10.7109375" customWidth="1"/>
    <col min="14" max="15" width="13.7109375" customWidth="1"/>
    <col min="16" max="27" width="13.7109375" hidden="1" customWidth="1"/>
    <col min="28" max="33" width="13.7109375" customWidth="1"/>
    <col min="34" max="45" width="13.7109375" hidden="1" customWidth="1"/>
    <col min="46" max="46" width="13.140625" bestFit="1" customWidth="1"/>
    <col min="48" max="48" width="10.7109375" customWidth="1"/>
    <col min="49" max="49" width="15.7109375" customWidth="1"/>
    <col min="50" max="50" width="10.7109375" customWidth="1"/>
    <col min="51" max="51" width="15.7109375" customWidth="1"/>
    <col min="52" max="52" width="10.7109375" customWidth="1"/>
    <col min="53" max="53" width="15.7109375" customWidth="1"/>
    <col min="54" max="54" width="10.7109375" customWidth="1"/>
    <col min="55" max="55" width="15.7109375" customWidth="1"/>
  </cols>
  <sheetData>
    <row r="1" spans="1:55" ht="15" customHeight="1" x14ac:dyDescent="0.25">
      <c r="A1" s="32" t="s">
        <v>49</v>
      </c>
    </row>
    <row r="2" spans="1:55" ht="15" customHeight="1" x14ac:dyDescent="0.25">
      <c r="A2" s="32" t="s">
        <v>50</v>
      </c>
    </row>
    <row r="3" spans="1:55" ht="15" customHeight="1" x14ac:dyDescent="0.25">
      <c r="A3" s="32" t="str">
        <f>+'201. DS'!A3</f>
        <v xml:space="preserve">EJERCICIO FISCAL 2022 - ACTUALIZADA NOVIEMBRE </v>
      </c>
    </row>
    <row r="4" spans="1:55" ht="15" customHeight="1" thickBot="1" x14ac:dyDescent="0.3"/>
    <row r="5" spans="1:55" s="94" customFormat="1" x14ac:dyDescent="0.25">
      <c r="A5" s="328" t="s">
        <v>85</v>
      </c>
      <c r="B5" s="329"/>
      <c r="C5" s="329"/>
      <c r="D5" s="329"/>
      <c r="E5" s="329"/>
      <c r="F5" s="329"/>
      <c r="G5" s="329"/>
      <c r="H5" s="329"/>
      <c r="I5" s="329"/>
      <c r="J5" s="330" t="s">
        <v>1</v>
      </c>
      <c r="K5" s="330"/>
      <c r="L5" s="330"/>
      <c r="M5" s="330"/>
      <c r="N5" s="330"/>
      <c r="O5" s="330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30" t="s">
        <v>2</v>
      </c>
      <c r="AC5" s="330"/>
      <c r="AD5" s="330"/>
      <c r="AE5" s="330"/>
      <c r="AF5" s="330"/>
      <c r="AG5" s="331"/>
      <c r="AH5" s="162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40"/>
      <c r="AT5" s="51"/>
      <c r="AU5" s="51"/>
      <c r="AV5" s="327" t="s">
        <v>51</v>
      </c>
      <c r="AW5" s="327"/>
      <c r="AX5" s="327" t="s">
        <v>52</v>
      </c>
      <c r="AY5" s="327"/>
      <c r="AZ5" s="327" t="s">
        <v>53</v>
      </c>
      <c r="BA5" s="327"/>
      <c r="BB5" s="327" t="s">
        <v>55</v>
      </c>
      <c r="BC5" s="327"/>
    </row>
    <row r="6" spans="1:55" s="111" customFormat="1" ht="36.75" thickBot="1" x14ac:dyDescent="0.3">
      <c r="A6" s="255" t="s">
        <v>3</v>
      </c>
      <c r="B6" s="246" t="s">
        <v>4</v>
      </c>
      <c r="C6" s="246" t="s">
        <v>5</v>
      </c>
      <c r="D6" s="246" t="s">
        <v>6</v>
      </c>
      <c r="E6" s="246" t="s">
        <v>7</v>
      </c>
      <c r="F6" s="246" t="s">
        <v>8</v>
      </c>
      <c r="G6" s="246" t="s">
        <v>9</v>
      </c>
      <c r="H6" s="247" t="s">
        <v>10</v>
      </c>
      <c r="I6" s="248" t="s">
        <v>11</v>
      </c>
      <c r="J6" s="249" t="s">
        <v>12</v>
      </c>
      <c r="K6" s="249" t="s">
        <v>65</v>
      </c>
      <c r="L6" s="249" t="s">
        <v>13</v>
      </c>
      <c r="M6" s="249" t="s">
        <v>14</v>
      </c>
      <c r="N6" s="250" t="s">
        <v>15</v>
      </c>
      <c r="O6" s="250" t="s">
        <v>16</v>
      </c>
      <c r="P6" s="250" t="s">
        <v>17</v>
      </c>
      <c r="Q6" s="250" t="s">
        <v>18</v>
      </c>
      <c r="R6" s="250" t="s">
        <v>19</v>
      </c>
      <c r="S6" s="250" t="s">
        <v>20</v>
      </c>
      <c r="T6" s="250" t="s">
        <v>21</v>
      </c>
      <c r="U6" s="250" t="s">
        <v>22</v>
      </c>
      <c r="V6" s="250" t="s">
        <v>23</v>
      </c>
      <c r="W6" s="250" t="s">
        <v>24</v>
      </c>
      <c r="X6" s="250" t="s">
        <v>25</v>
      </c>
      <c r="Y6" s="250" t="s">
        <v>26</v>
      </c>
      <c r="Z6" s="250" t="s">
        <v>27</v>
      </c>
      <c r="AA6" s="250" t="s">
        <v>28</v>
      </c>
      <c r="AB6" s="249" t="s">
        <v>12</v>
      </c>
      <c r="AC6" s="249" t="s">
        <v>65</v>
      </c>
      <c r="AD6" s="249" t="s">
        <v>13</v>
      </c>
      <c r="AE6" s="249" t="s">
        <v>14</v>
      </c>
      <c r="AF6" s="250" t="s">
        <v>15</v>
      </c>
      <c r="AG6" s="256" t="s">
        <v>16</v>
      </c>
      <c r="AH6" s="30" t="s">
        <v>17</v>
      </c>
      <c r="AI6" s="28" t="s">
        <v>18</v>
      </c>
      <c r="AJ6" s="28" t="s">
        <v>19</v>
      </c>
      <c r="AK6" s="28" t="s">
        <v>20</v>
      </c>
      <c r="AL6" s="28" t="s">
        <v>21</v>
      </c>
      <c r="AM6" s="28" t="s">
        <v>22</v>
      </c>
      <c r="AN6" s="28" t="s">
        <v>23</v>
      </c>
      <c r="AO6" s="28" t="s">
        <v>24</v>
      </c>
      <c r="AP6" s="28" t="s">
        <v>25</v>
      </c>
      <c r="AQ6" s="28" t="s">
        <v>26</v>
      </c>
      <c r="AR6" s="28" t="s">
        <v>27</v>
      </c>
      <c r="AS6" s="29" t="s">
        <v>28</v>
      </c>
      <c r="AT6" s="95"/>
      <c r="AU6" s="95"/>
      <c r="AV6" s="70" t="s">
        <v>54</v>
      </c>
      <c r="AW6" s="70" t="s">
        <v>2</v>
      </c>
      <c r="AX6" s="70" t="s">
        <v>54</v>
      </c>
      <c r="AY6" s="70" t="s">
        <v>2</v>
      </c>
      <c r="AZ6" s="70" t="s">
        <v>54</v>
      </c>
      <c r="BA6" s="70" t="s">
        <v>2</v>
      </c>
      <c r="BB6" s="70" t="s">
        <v>54</v>
      </c>
      <c r="BC6" s="70" t="s">
        <v>2</v>
      </c>
    </row>
    <row r="7" spans="1:55" s="94" customFormat="1" ht="30" x14ac:dyDescent="0.3">
      <c r="A7" s="4"/>
      <c r="B7" s="5">
        <v>12</v>
      </c>
      <c r="C7" s="5"/>
      <c r="D7" s="5"/>
      <c r="E7" s="5"/>
      <c r="F7" s="5"/>
      <c r="G7" s="5"/>
      <c r="H7" s="54" t="s">
        <v>86</v>
      </c>
      <c r="I7" s="254"/>
      <c r="J7" s="112"/>
      <c r="K7" s="112"/>
      <c r="L7" s="112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10"/>
      <c r="AH7" s="163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1"/>
      <c r="AT7" s="79"/>
      <c r="AU7" s="79"/>
      <c r="AV7" s="98"/>
      <c r="AW7" s="86"/>
      <c r="AX7" s="98"/>
      <c r="AY7" s="86"/>
      <c r="AZ7" s="98"/>
      <c r="BA7" s="86"/>
      <c r="BB7" s="98"/>
      <c r="BC7" s="86"/>
    </row>
    <row r="8" spans="1:55" s="94" customFormat="1" x14ac:dyDescent="0.3">
      <c r="A8" s="4"/>
      <c r="B8" s="5"/>
      <c r="C8" s="5">
        <v>0</v>
      </c>
      <c r="D8" s="5"/>
      <c r="E8" s="5"/>
      <c r="F8" s="5"/>
      <c r="G8" s="5"/>
      <c r="H8" s="54" t="s">
        <v>30</v>
      </c>
      <c r="I8" s="254"/>
      <c r="J8" s="112"/>
      <c r="K8" s="112"/>
      <c r="L8" s="112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10"/>
      <c r="AH8" s="164"/>
      <c r="AI8" s="9"/>
      <c r="AJ8" s="9"/>
      <c r="AK8" s="9"/>
      <c r="AL8" s="9"/>
      <c r="AM8" s="9"/>
      <c r="AN8" s="9"/>
      <c r="AO8" s="9"/>
      <c r="AP8" s="9"/>
      <c r="AQ8" s="9"/>
      <c r="AR8" s="9"/>
      <c r="AS8" s="10"/>
      <c r="AT8" s="79"/>
      <c r="AU8" s="79"/>
      <c r="AV8" s="98"/>
      <c r="AW8" s="86"/>
      <c r="AX8" s="98"/>
      <c r="AY8" s="86"/>
      <c r="AZ8" s="98"/>
      <c r="BA8" s="86"/>
      <c r="BB8" s="98"/>
      <c r="BC8" s="86"/>
    </row>
    <row r="9" spans="1:55" s="94" customFormat="1" x14ac:dyDescent="0.3">
      <c r="A9" s="4"/>
      <c r="B9" s="5"/>
      <c r="C9" s="5"/>
      <c r="D9" s="5">
        <v>0</v>
      </c>
      <c r="E9" s="5"/>
      <c r="F9" s="5"/>
      <c r="G9" s="5"/>
      <c r="H9" s="54" t="s">
        <v>31</v>
      </c>
      <c r="I9" s="254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10"/>
      <c r="AH9" s="164"/>
      <c r="AI9" s="9"/>
      <c r="AJ9" s="9"/>
      <c r="AK9" s="9"/>
      <c r="AL9" s="9"/>
      <c r="AM9" s="9"/>
      <c r="AN9" s="9"/>
      <c r="AO9" s="9"/>
      <c r="AP9" s="9"/>
      <c r="AQ9" s="9"/>
      <c r="AR9" s="9"/>
      <c r="AS9" s="10"/>
      <c r="AT9" s="79"/>
      <c r="AU9" s="79"/>
      <c r="AV9" s="98"/>
      <c r="AW9" s="86"/>
      <c r="AX9" s="98"/>
      <c r="AY9" s="86"/>
      <c r="AZ9" s="98"/>
      <c r="BA9" s="86"/>
      <c r="BB9" s="98"/>
      <c r="BC9" s="86"/>
    </row>
    <row r="10" spans="1:55" s="94" customFormat="1" x14ac:dyDescent="0.3">
      <c r="A10" s="4"/>
      <c r="B10" s="5"/>
      <c r="C10" s="5"/>
      <c r="D10" s="5"/>
      <c r="E10" s="5">
        <v>1</v>
      </c>
      <c r="F10" s="5">
        <v>0</v>
      </c>
      <c r="G10" s="5"/>
      <c r="H10" s="54" t="s">
        <v>59</v>
      </c>
      <c r="I10" s="254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>
        <v>21689307</v>
      </c>
      <c r="AC10" s="9">
        <v>11535420</v>
      </c>
      <c r="AD10" s="9">
        <v>11535420</v>
      </c>
      <c r="AE10" s="9">
        <v>13018921</v>
      </c>
      <c r="AF10" s="9">
        <f>10014152.58+AR10</f>
        <v>11323155.27</v>
      </c>
      <c r="AG10" s="10">
        <f>+AR10</f>
        <v>1309002.69</v>
      </c>
      <c r="AH10" s="268">
        <v>65577.09</v>
      </c>
      <c r="AI10" s="206">
        <v>1531899.32</v>
      </c>
      <c r="AJ10" s="206">
        <v>1214980.75</v>
      </c>
      <c r="AK10" s="206">
        <v>899225.42</v>
      </c>
      <c r="AL10" s="206">
        <v>956033.12</v>
      </c>
      <c r="AM10" s="206">
        <v>109372.43</v>
      </c>
      <c r="AN10" s="9">
        <v>110271.27</v>
      </c>
      <c r="AO10" s="9">
        <v>113809.1</v>
      </c>
      <c r="AP10" s="9">
        <v>67891.520000000004</v>
      </c>
      <c r="AQ10" s="9">
        <v>1107242.78</v>
      </c>
      <c r="AR10" s="9">
        <v>1309002.69</v>
      </c>
      <c r="AS10" s="10">
        <v>0</v>
      </c>
      <c r="AT10" s="85"/>
      <c r="AU10" s="79"/>
      <c r="AV10" s="98"/>
      <c r="AW10" s="86"/>
      <c r="AX10" s="98"/>
      <c r="AY10" s="86"/>
      <c r="AZ10" s="98"/>
      <c r="BA10" s="86"/>
      <c r="BB10" s="98"/>
      <c r="BC10" s="86"/>
    </row>
    <row r="11" spans="1:55" s="94" customFormat="1" x14ac:dyDescent="0.3">
      <c r="A11" s="4">
        <v>4</v>
      </c>
      <c r="B11" s="5"/>
      <c r="C11" s="5"/>
      <c r="D11" s="5"/>
      <c r="E11" s="5"/>
      <c r="F11" s="5"/>
      <c r="G11" s="5">
        <v>1</v>
      </c>
      <c r="H11" s="56" t="s">
        <v>60</v>
      </c>
      <c r="I11" s="261" t="s">
        <v>34</v>
      </c>
      <c r="J11" s="9">
        <f t="shared" ref="J11:AA11" si="0">J12</f>
        <v>100</v>
      </c>
      <c r="K11" s="9">
        <f t="shared" si="0"/>
        <v>85</v>
      </c>
      <c r="L11" s="9">
        <f t="shared" si="0"/>
        <v>85</v>
      </c>
      <c r="M11" s="9">
        <f>M12</f>
        <v>184</v>
      </c>
      <c r="N11" s="9">
        <f>+N12</f>
        <v>179</v>
      </c>
      <c r="O11" s="9">
        <f>+Z11</f>
        <v>0</v>
      </c>
      <c r="P11" s="9">
        <f t="shared" si="0"/>
        <v>0</v>
      </c>
      <c r="Q11" s="9">
        <f t="shared" si="0"/>
        <v>34</v>
      </c>
      <c r="R11" s="9">
        <f t="shared" si="0"/>
        <v>0</v>
      </c>
      <c r="S11" s="9">
        <f t="shared" si="0"/>
        <v>0</v>
      </c>
      <c r="T11" s="9">
        <f t="shared" si="0"/>
        <v>30</v>
      </c>
      <c r="U11" s="9">
        <f t="shared" si="0"/>
        <v>0</v>
      </c>
      <c r="V11" s="9">
        <v>0</v>
      </c>
      <c r="W11" s="9">
        <f t="shared" si="0"/>
        <v>0</v>
      </c>
      <c r="X11" s="9">
        <f t="shared" si="0"/>
        <v>1</v>
      </c>
      <c r="Y11" s="9">
        <v>114</v>
      </c>
      <c r="Z11" s="9">
        <f t="shared" si="0"/>
        <v>0</v>
      </c>
      <c r="AA11" s="9">
        <f t="shared" si="0"/>
        <v>0</v>
      </c>
      <c r="AB11" s="9"/>
      <c r="AC11" s="9"/>
      <c r="AD11" s="9"/>
      <c r="AE11" s="9"/>
      <c r="AF11" s="9"/>
      <c r="AG11" s="10"/>
      <c r="AH11" s="164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10"/>
      <c r="AT11" s="89"/>
      <c r="AU11" s="51"/>
      <c r="AV11" s="98">
        <f>+AV12</f>
        <v>105</v>
      </c>
      <c r="AW11" s="104">
        <v>22902698.309999999</v>
      </c>
      <c r="AX11" s="98">
        <f t="shared" ref="AX11:BC11" si="1">+AX12</f>
        <v>110</v>
      </c>
      <c r="AY11" s="86">
        <f t="shared" si="1"/>
        <v>25566210.967500001</v>
      </c>
      <c r="AZ11" s="98">
        <f t="shared" si="1"/>
        <v>115</v>
      </c>
      <c r="BA11" s="86">
        <f t="shared" si="1"/>
        <v>26844521.515875001</v>
      </c>
      <c r="BB11" s="98">
        <f t="shared" si="1"/>
        <v>120</v>
      </c>
      <c r="BC11" s="86">
        <f t="shared" si="1"/>
        <v>28186747.591668751</v>
      </c>
    </row>
    <row r="12" spans="1:55" s="94" customFormat="1" x14ac:dyDescent="0.25">
      <c r="A12" s="4"/>
      <c r="B12" s="5"/>
      <c r="C12" s="5"/>
      <c r="D12" s="5"/>
      <c r="E12" s="5"/>
      <c r="F12" s="5"/>
      <c r="G12" s="6">
        <v>2</v>
      </c>
      <c r="H12" s="57" t="s">
        <v>60</v>
      </c>
      <c r="I12" s="262" t="s">
        <v>34</v>
      </c>
      <c r="J12" s="11">
        <v>100</v>
      </c>
      <c r="K12" s="11">
        <v>85</v>
      </c>
      <c r="L12" s="11">
        <v>85</v>
      </c>
      <c r="M12" s="11">
        <v>184</v>
      </c>
      <c r="N12" s="11">
        <f>SUM(P12:AA12)</f>
        <v>179</v>
      </c>
      <c r="O12" s="11">
        <f>+Z12</f>
        <v>0</v>
      </c>
      <c r="P12" s="11">
        <v>0</v>
      </c>
      <c r="Q12" s="11">
        <v>34</v>
      </c>
      <c r="R12" s="11">
        <v>0</v>
      </c>
      <c r="S12" s="11">
        <v>0</v>
      </c>
      <c r="T12" s="11">
        <v>30</v>
      </c>
      <c r="U12" s="11">
        <v>0</v>
      </c>
      <c r="V12" s="11">
        <v>0</v>
      </c>
      <c r="W12" s="11">
        <v>0</v>
      </c>
      <c r="X12" s="11">
        <v>1</v>
      </c>
      <c r="Y12" s="11">
        <v>114</v>
      </c>
      <c r="Z12" s="11">
        <v>0</v>
      </c>
      <c r="AA12" s="11">
        <v>0</v>
      </c>
      <c r="AB12" s="9"/>
      <c r="AC12" s="9"/>
      <c r="AD12" s="9"/>
      <c r="AE12" s="9"/>
      <c r="AF12" s="9"/>
      <c r="AG12" s="10"/>
      <c r="AH12" s="164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10"/>
      <c r="AT12" s="89"/>
      <c r="AU12" s="51"/>
      <c r="AV12" s="77">
        <v>105</v>
      </c>
      <c r="AW12" s="103">
        <v>24348772.349999998</v>
      </c>
      <c r="AX12" s="77">
        <v>110</v>
      </c>
      <c r="AY12" s="103">
        <v>25566210.967500001</v>
      </c>
      <c r="AZ12" s="77">
        <v>115</v>
      </c>
      <c r="BA12" s="103">
        <v>26844521.515875001</v>
      </c>
      <c r="BB12" s="77">
        <v>120</v>
      </c>
      <c r="BC12" s="103">
        <v>28186747.591668751</v>
      </c>
    </row>
    <row r="13" spans="1:55" s="94" customFormat="1" x14ac:dyDescent="0.3">
      <c r="A13" s="4"/>
      <c r="B13" s="5"/>
      <c r="C13" s="5"/>
      <c r="D13" s="5"/>
      <c r="E13" s="5">
        <v>2</v>
      </c>
      <c r="F13" s="5">
        <v>0</v>
      </c>
      <c r="G13" s="5"/>
      <c r="H13" s="56" t="s">
        <v>87</v>
      </c>
      <c r="I13" s="2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9">
        <v>12809622.5</v>
      </c>
      <c r="AC13" s="9">
        <v>2852578</v>
      </c>
      <c r="AD13" s="9">
        <v>2852578</v>
      </c>
      <c r="AE13" s="9">
        <v>2684863</v>
      </c>
      <c r="AF13" s="9">
        <f>1694802.97+AR13</f>
        <v>2102113.73</v>
      </c>
      <c r="AG13" s="10">
        <f>+AR13</f>
        <v>407310.76</v>
      </c>
      <c r="AH13" s="268">
        <v>104609.49</v>
      </c>
      <c r="AI13" s="206">
        <v>300853.69</v>
      </c>
      <c r="AJ13" s="206">
        <v>211516.66</v>
      </c>
      <c r="AK13" s="206">
        <v>169939.03</v>
      </c>
      <c r="AL13" s="206">
        <v>159383.67999999999</v>
      </c>
      <c r="AM13" s="206">
        <f>131256.96+93824.96+8200+29232</f>
        <v>262513.91999999998</v>
      </c>
      <c r="AN13" s="9">
        <v>1176883.8799999999</v>
      </c>
      <c r="AO13" s="9">
        <v>91550.3</v>
      </c>
      <c r="AP13" s="9">
        <v>35988.67</v>
      </c>
      <c r="AQ13" s="9">
        <v>123041</v>
      </c>
      <c r="AR13" s="9">
        <v>407310.76</v>
      </c>
      <c r="AS13" s="10">
        <v>0</v>
      </c>
      <c r="AT13" s="85"/>
      <c r="AU13" s="51"/>
      <c r="AV13" s="49"/>
      <c r="AW13" s="49"/>
      <c r="AX13" s="49"/>
      <c r="AY13" s="49"/>
      <c r="AZ13" s="49"/>
      <c r="BA13" s="49"/>
      <c r="BB13" s="49"/>
      <c r="BC13" s="49"/>
    </row>
    <row r="14" spans="1:55" s="94" customFormat="1" ht="30" x14ac:dyDescent="0.25">
      <c r="A14" s="4">
        <v>4</v>
      </c>
      <c r="B14" s="5"/>
      <c r="C14" s="5"/>
      <c r="D14" s="5"/>
      <c r="E14" s="5"/>
      <c r="F14" s="5"/>
      <c r="G14" s="5">
        <v>1</v>
      </c>
      <c r="H14" s="56" t="s">
        <v>88</v>
      </c>
      <c r="I14" s="261" t="s">
        <v>64</v>
      </c>
      <c r="J14" s="9">
        <f>SUM(J15:J17,J19:J20)</f>
        <v>7450</v>
      </c>
      <c r="K14" s="9">
        <f>SUM(K15:K17,K19:K20)</f>
        <v>4000</v>
      </c>
      <c r="L14" s="9">
        <f>SUM(L15:L17,L19:L20)</f>
        <v>4000</v>
      </c>
      <c r="M14" s="9">
        <v>11124</v>
      </c>
      <c r="N14" s="9">
        <v>8985</v>
      </c>
      <c r="O14" s="11">
        <f t="shared" ref="O14:O20" si="2">+Z14</f>
        <v>1430</v>
      </c>
      <c r="P14" s="9">
        <f t="shared" ref="P14:AA14" si="3">P15</f>
        <v>0</v>
      </c>
      <c r="Q14" s="9">
        <f t="shared" si="3"/>
        <v>35</v>
      </c>
      <c r="R14" s="9">
        <f t="shared" si="3"/>
        <v>20</v>
      </c>
      <c r="S14" s="9">
        <f t="shared" si="3"/>
        <v>20</v>
      </c>
      <c r="T14" s="9">
        <f>SUM(T15:T17,T19,T20)</f>
        <v>379</v>
      </c>
      <c r="U14" s="9">
        <v>285</v>
      </c>
      <c r="V14" s="9">
        <f t="shared" si="3"/>
        <v>75</v>
      </c>
      <c r="W14" s="9">
        <v>385</v>
      </c>
      <c r="X14" s="9">
        <v>3746</v>
      </c>
      <c r="Y14" s="9">
        <v>1605</v>
      </c>
      <c r="Z14" s="9">
        <v>1430</v>
      </c>
      <c r="AA14" s="9">
        <f t="shared" si="3"/>
        <v>0</v>
      </c>
      <c r="AB14" s="9"/>
      <c r="AC14" s="9"/>
      <c r="AD14" s="9"/>
      <c r="AE14" s="9"/>
      <c r="AF14" s="9"/>
      <c r="AG14" s="10"/>
      <c r="AH14" s="164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10"/>
      <c r="AT14" s="89"/>
      <c r="AU14" s="51"/>
      <c r="AV14" s="80">
        <f>AV15</f>
        <v>7810</v>
      </c>
      <c r="AW14" s="35">
        <f>AW15</f>
        <v>2583115.5</v>
      </c>
      <c r="AX14" s="80">
        <f t="shared" ref="AX14:BC14" si="4">AX15</f>
        <v>8190</v>
      </c>
      <c r="AY14" s="35">
        <f t="shared" si="4"/>
        <v>2712271.2749999999</v>
      </c>
      <c r="AZ14" s="80">
        <f t="shared" si="4"/>
        <v>8579.5</v>
      </c>
      <c r="BA14" s="35">
        <f t="shared" si="4"/>
        <v>2847884.8387500006</v>
      </c>
      <c r="BB14" s="80">
        <f t="shared" si="4"/>
        <v>9030</v>
      </c>
      <c r="BC14" s="35">
        <f t="shared" si="4"/>
        <v>2990279.0806875005</v>
      </c>
    </row>
    <row r="15" spans="1:55" s="94" customFormat="1" ht="40.5" x14ac:dyDescent="0.25">
      <c r="A15" s="4"/>
      <c r="B15" s="5"/>
      <c r="C15" s="5"/>
      <c r="D15" s="5"/>
      <c r="E15" s="5"/>
      <c r="F15" s="5"/>
      <c r="G15" s="6">
        <v>2</v>
      </c>
      <c r="H15" s="57" t="s">
        <v>89</v>
      </c>
      <c r="I15" s="262" t="s">
        <v>64</v>
      </c>
      <c r="J15" s="11">
        <v>800</v>
      </c>
      <c r="K15" s="11">
        <v>500</v>
      </c>
      <c r="L15" s="11">
        <v>500</v>
      </c>
      <c r="M15" s="11">
        <v>500</v>
      </c>
      <c r="N15" s="11">
        <f>SUM(P15:AA15)</f>
        <v>470</v>
      </c>
      <c r="O15" s="11">
        <f t="shared" si="2"/>
        <v>30</v>
      </c>
      <c r="P15" s="11">
        <v>0</v>
      </c>
      <c r="Q15" s="11">
        <v>35</v>
      </c>
      <c r="R15" s="11">
        <v>20</v>
      </c>
      <c r="S15" s="11">
        <v>20</v>
      </c>
      <c r="T15" s="11">
        <v>69</v>
      </c>
      <c r="U15" s="11">
        <v>75</v>
      </c>
      <c r="V15" s="11">
        <v>75</v>
      </c>
      <c r="W15" s="11">
        <v>75</v>
      </c>
      <c r="X15" s="11">
        <v>41</v>
      </c>
      <c r="Y15" s="11">
        <v>30</v>
      </c>
      <c r="Z15" s="11">
        <v>30</v>
      </c>
      <c r="AA15" s="11">
        <v>0</v>
      </c>
      <c r="AB15" s="11"/>
      <c r="AC15" s="11"/>
      <c r="AD15" s="11"/>
      <c r="AE15" s="9"/>
      <c r="AF15" s="9"/>
      <c r="AG15" s="10"/>
      <c r="AH15" s="164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10"/>
      <c r="AT15" s="51"/>
      <c r="AU15" s="51"/>
      <c r="AV15" s="108">
        <v>7810</v>
      </c>
      <c r="AW15" s="109">
        <v>2583115.5</v>
      </c>
      <c r="AX15" s="108">
        <v>8190</v>
      </c>
      <c r="AY15" s="110">
        <v>2712271.2749999999</v>
      </c>
      <c r="AZ15" s="108">
        <v>8579.5</v>
      </c>
      <c r="BA15" s="110">
        <v>2847884.8387500006</v>
      </c>
      <c r="BB15" s="108">
        <v>9030</v>
      </c>
      <c r="BC15" s="110">
        <v>2990279.0806875005</v>
      </c>
    </row>
    <row r="16" spans="1:55" s="94" customFormat="1" ht="40.5" x14ac:dyDescent="0.25">
      <c r="A16" s="4"/>
      <c r="B16" s="5"/>
      <c r="C16" s="5"/>
      <c r="D16" s="5"/>
      <c r="E16" s="5"/>
      <c r="F16" s="5"/>
      <c r="G16" s="6">
        <v>3</v>
      </c>
      <c r="H16" s="57" t="s">
        <v>91</v>
      </c>
      <c r="I16" s="262" t="s">
        <v>64</v>
      </c>
      <c r="J16" s="11">
        <v>1145</v>
      </c>
      <c r="K16" s="11">
        <v>1500</v>
      </c>
      <c r="L16" s="11">
        <v>1500</v>
      </c>
      <c r="M16" s="11">
        <v>2200</v>
      </c>
      <c r="N16" s="9">
        <v>1990</v>
      </c>
      <c r="O16" s="11">
        <f t="shared" si="2"/>
        <v>30</v>
      </c>
      <c r="P16" s="11">
        <v>0</v>
      </c>
      <c r="Q16" s="11">
        <v>0</v>
      </c>
      <c r="R16" s="11">
        <v>0</v>
      </c>
      <c r="S16" s="11">
        <v>125</v>
      </c>
      <c r="T16" s="11">
        <v>140</v>
      </c>
      <c r="U16" s="11">
        <v>140</v>
      </c>
      <c r="V16" s="11">
        <v>140</v>
      </c>
      <c r="W16" s="11">
        <v>140</v>
      </c>
      <c r="X16" s="11">
        <v>605</v>
      </c>
      <c r="Y16" s="11">
        <v>400</v>
      </c>
      <c r="Z16" s="11">
        <v>30</v>
      </c>
      <c r="AA16" s="11">
        <v>0</v>
      </c>
      <c r="AB16" s="11"/>
      <c r="AC16" s="11"/>
      <c r="AD16" s="11"/>
      <c r="AE16" s="9"/>
      <c r="AF16" s="9"/>
      <c r="AG16" s="10"/>
      <c r="AH16" s="164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10"/>
      <c r="AT16" s="51"/>
      <c r="AU16" s="51"/>
      <c r="AV16" s="108"/>
      <c r="AW16" s="109"/>
      <c r="AX16" s="108"/>
      <c r="AY16" s="110"/>
      <c r="AZ16" s="108"/>
      <c r="BA16" s="110"/>
      <c r="BB16" s="108"/>
      <c r="BC16" s="110"/>
    </row>
    <row r="17" spans="1:55" s="94" customFormat="1" ht="40.5" x14ac:dyDescent="0.25">
      <c r="A17" s="4"/>
      <c r="B17" s="5"/>
      <c r="C17" s="5"/>
      <c r="D17" s="5"/>
      <c r="E17" s="5"/>
      <c r="F17" s="5"/>
      <c r="G17" s="6">
        <v>4</v>
      </c>
      <c r="H17" s="57" t="s">
        <v>92</v>
      </c>
      <c r="I17" s="262" t="s">
        <v>64</v>
      </c>
      <c r="J17" s="11">
        <v>1450</v>
      </c>
      <c r="K17" s="11">
        <v>1100</v>
      </c>
      <c r="L17" s="11">
        <v>1100</v>
      </c>
      <c r="M17" s="11">
        <v>2100</v>
      </c>
      <c r="N17" s="9">
        <f>SUM(P17:AA17)</f>
        <v>1000</v>
      </c>
      <c r="O17" s="11">
        <f t="shared" si="2"/>
        <v>100</v>
      </c>
      <c r="P17" s="11">
        <v>0</v>
      </c>
      <c r="Q17" s="11">
        <v>40</v>
      </c>
      <c r="R17" s="11">
        <v>90</v>
      </c>
      <c r="S17" s="11">
        <v>20</v>
      </c>
      <c r="T17" s="11">
        <v>100</v>
      </c>
      <c r="U17" s="11">
        <v>100</v>
      </c>
      <c r="V17" s="11">
        <v>100</v>
      </c>
      <c r="W17" s="11">
        <v>100</v>
      </c>
      <c r="X17" s="11">
        <v>175</v>
      </c>
      <c r="Y17" s="11">
        <v>175</v>
      </c>
      <c r="Z17" s="11">
        <v>100</v>
      </c>
      <c r="AA17" s="11">
        <v>0</v>
      </c>
      <c r="AB17" s="11"/>
      <c r="AC17" s="11"/>
      <c r="AD17" s="11"/>
      <c r="AE17" s="9"/>
      <c r="AF17" s="9"/>
      <c r="AG17" s="10"/>
      <c r="AH17" s="164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10"/>
      <c r="AT17" s="51"/>
      <c r="AU17" s="51"/>
      <c r="AV17" s="108"/>
      <c r="AW17" s="109"/>
      <c r="AX17" s="108"/>
      <c r="AY17" s="110"/>
      <c r="AZ17" s="108"/>
      <c r="BA17" s="110"/>
      <c r="BB17" s="108"/>
      <c r="BC17" s="110"/>
    </row>
    <row r="18" spans="1:55" s="94" customFormat="1" ht="27" x14ac:dyDescent="0.25">
      <c r="A18" s="4"/>
      <c r="B18" s="5"/>
      <c r="C18" s="5"/>
      <c r="D18" s="5"/>
      <c r="E18" s="5"/>
      <c r="F18" s="5"/>
      <c r="G18" s="6">
        <v>5</v>
      </c>
      <c r="H18" s="57" t="s">
        <v>90</v>
      </c>
      <c r="I18" s="262" t="s">
        <v>34</v>
      </c>
      <c r="J18" s="11">
        <v>2600</v>
      </c>
      <c r="K18" s="11">
        <v>1415</v>
      </c>
      <c r="L18" s="11">
        <v>1415</v>
      </c>
      <c r="M18" s="11">
        <v>2800</v>
      </c>
      <c r="N18" s="9">
        <f t="shared" ref="N18" si="5">SUM(P18:Y18)</f>
        <v>2040</v>
      </c>
      <c r="O18" s="11">
        <f t="shared" si="2"/>
        <v>0</v>
      </c>
      <c r="P18" s="11">
        <v>0</v>
      </c>
      <c r="Q18" s="11">
        <v>360</v>
      </c>
      <c r="R18" s="11">
        <v>150</v>
      </c>
      <c r="S18" s="11">
        <v>150</v>
      </c>
      <c r="T18" s="11">
        <v>150</v>
      </c>
      <c r="U18" s="11">
        <v>150</v>
      </c>
      <c r="V18" s="11">
        <v>150</v>
      </c>
      <c r="W18" s="11">
        <v>150</v>
      </c>
      <c r="X18" s="11">
        <v>400</v>
      </c>
      <c r="Y18" s="11">
        <v>380</v>
      </c>
      <c r="Z18" s="11">
        <v>0</v>
      </c>
      <c r="AA18" s="11">
        <v>0</v>
      </c>
      <c r="AB18" s="11"/>
      <c r="AC18" s="11"/>
      <c r="AD18" s="11"/>
      <c r="AE18" s="9"/>
      <c r="AF18" s="9"/>
      <c r="AG18" s="10"/>
      <c r="AH18" s="164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10"/>
      <c r="AT18" s="51"/>
      <c r="AU18" s="51"/>
      <c r="AV18" s="108"/>
      <c r="AW18" s="109"/>
      <c r="AX18" s="108"/>
      <c r="AY18" s="109"/>
      <c r="AZ18" s="108"/>
      <c r="BA18" s="109"/>
      <c r="BB18" s="108"/>
      <c r="BC18" s="109"/>
    </row>
    <row r="19" spans="1:55" s="94" customFormat="1" ht="40.5" x14ac:dyDescent="0.25">
      <c r="A19" s="4"/>
      <c r="B19" s="5"/>
      <c r="C19" s="5"/>
      <c r="D19" s="5"/>
      <c r="E19" s="5"/>
      <c r="F19" s="5"/>
      <c r="G19" s="6">
        <v>6</v>
      </c>
      <c r="H19" s="57" t="s">
        <v>93</v>
      </c>
      <c r="I19" s="262" t="s">
        <v>64</v>
      </c>
      <c r="J19" s="11">
        <v>3055</v>
      </c>
      <c r="K19" s="11">
        <v>400</v>
      </c>
      <c r="L19" s="11">
        <v>400</v>
      </c>
      <c r="M19" s="11">
        <v>5400</v>
      </c>
      <c r="N19" s="9">
        <f>SUM(P19:AA19)</f>
        <v>4800</v>
      </c>
      <c r="O19" s="11">
        <f t="shared" si="2"/>
        <v>900</v>
      </c>
      <c r="P19" s="11">
        <v>0</v>
      </c>
      <c r="Q19" s="11">
        <v>200</v>
      </c>
      <c r="R19" s="11">
        <v>100</v>
      </c>
      <c r="S19" s="11">
        <v>100</v>
      </c>
      <c r="T19" s="11">
        <v>0</v>
      </c>
      <c r="U19" s="11">
        <v>0</v>
      </c>
      <c r="V19" s="11">
        <v>0</v>
      </c>
      <c r="W19" s="11">
        <v>0</v>
      </c>
      <c r="X19" s="11">
        <v>2600</v>
      </c>
      <c r="Y19" s="11">
        <v>900</v>
      </c>
      <c r="Z19" s="11">
        <v>900</v>
      </c>
      <c r="AA19" s="11">
        <v>0</v>
      </c>
      <c r="AB19" s="11"/>
      <c r="AC19" s="11"/>
      <c r="AD19" s="11"/>
      <c r="AE19" s="9"/>
      <c r="AF19" s="9"/>
      <c r="AG19" s="10"/>
      <c r="AH19" s="164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10"/>
      <c r="AT19" s="51"/>
      <c r="AU19" s="51"/>
      <c r="AV19" s="108"/>
      <c r="AW19" s="109"/>
      <c r="AX19" s="108"/>
      <c r="AY19" s="110"/>
      <c r="AZ19" s="108"/>
      <c r="BA19" s="110"/>
      <c r="BB19" s="108"/>
      <c r="BC19" s="110"/>
    </row>
    <row r="20" spans="1:55" s="94" customFormat="1" ht="41.25" thickBot="1" x14ac:dyDescent="0.3">
      <c r="A20" s="105"/>
      <c r="B20" s="113"/>
      <c r="C20" s="113"/>
      <c r="D20" s="113"/>
      <c r="E20" s="113"/>
      <c r="F20" s="113"/>
      <c r="G20" s="63">
        <v>8</v>
      </c>
      <c r="H20" s="106" t="s">
        <v>94</v>
      </c>
      <c r="I20" s="270" t="s">
        <v>64</v>
      </c>
      <c r="J20" s="15">
        <v>1000</v>
      </c>
      <c r="K20" s="15">
        <v>500</v>
      </c>
      <c r="L20" s="15">
        <v>500</v>
      </c>
      <c r="M20" s="15">
        <v>924</v>
      </c>
      <c r="N20" s="13">
        <f>SUM(P20:AA20)</f>
        <v>825</v>
      </c>
      <c r="O20" s="11">
        <f t="shared" si="2"/>
        <v>100</v>
      </c>
      <c r="P20" s="15">
        <v>0</v>
      </c>
      <c r="Q20" s="15">
        <v>0</v>
      </c>
      <c r="R20" s="15">
        <v>10</v>
      </c>
      <c r="S20" s="15">
        <v>10</v>
      </c>
      <c r="T20" s="15">
        <v>70</v>
      </c>
      <c r="U20" s="15">
        <v>70</v>
      </c>
      <c r="V20" s="15">
        <v>70</v>
      </c>
      <c r="W20" s="15">
        <v>70</v>
      </c>
      <c r="X20" s="15">
        <v>325</v>
      </c>
      <c r="Y20" s="15">
        <v>100</v>
      </c>
      <c r="Z20" s="15">
        <v>100</v>
      </c>
      <c r="AA20" s="15">
        <v>0</v>
      </c>
      <c r="AB20" s="15"/>
      <c r="AC20" s="15"/>
      <c r="AD20" s="15"/>
      <c r="AE20" s="13"/>
      <c r="AF20" s="13"/>
      <c r="AG20" s="14"/>
      <c r="AH20" s="269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4"/>
      <c r="AT20" s="51"/>
      <c r="AU20" s="51"/>
      <c r="AV20" s="108"/>
      <c r="AW20" s="109"/>
      <c r="AX20" s="108"/>
      <c r="AY20" s="109"/>
      <c r="AZ20" s="108"/>
      <c r="BA20" s="109"/>
      <c r="BB20" s="108"/>
      <c r="BC20" s="109"/>
    </row>
    <row r="21" spans="1:55" s="94" customFormat="1" ht="13.5" x14ac:dyDescent="0.25"/>
    <row r="22" spans="1:55" s="94" customFormat="1" ht="13.5" x14ac:dyDescent="0.25"/>
    <row r="23" spans="1:55" s="94" customFormat="1" ht="13.5" x14ac:dyDescent="0.25"/>
    <row r="24" spans="1:55" s="94" customFormat="1" ht="13.5" x14ac:dyDescent="0.25">
      <c r="H24" s="94" t="s">
        <v>220</v>
      </c>
    </row>
    <row r="25" spans="1:55" s="94" customFormat="1" ht="13.5" x14ac:dyDescent="0.25">
      <c r="H25" s="94" t="s">
        <v>221</v>
      </c>
    </row>
    <row r="26" spans="1:55" s="94" customFormat="1" ht="13.5" x14ac:dyDescent="0.25"/>
    <row r="27" spans="1:55" s="94" customFormat="1" ht="13.5" x14ac:dyDescent="0.25"/>
    <row r="28" spans="1:55" s="94" customFormat="1" ht="13.5" x14ac:dyDescent="0.25"/>
    <row r="29" spans="1:55" s="94" customFormat="1" ht="13.5" x14ac:dyDescent="0.25"/>
    <row r="30" spans="1:55" s="94" customFormat="1" ht="13.5" x14ac:dyDescent="0.25"/>
    <row r="31" spans="1:55" s="94" customFormat="1" ht="13.5" x14ac:dyDescent="0.25"/>
    <row r="32" spans="1:55" s="94" customFormat="1" ht="13.5" x14ac:dyDescent="0.25"/>
    <row r="33" s="94" customFormat="1" ht="13.5" x14ac:dyDescent="0.25"/>
    <row r="34" s="94" customFormat="1" ht="13.5" x14ac:dyDescent="0.25"/>
    <row r="35" s="94" customFormat="1" ht="13.5" x14ac:dyDescent="0.25"/>
  </sheetData>
  <mergeCells count="7">
    <mergeCell ref="AV5:AW5"/>
    <mergeCell ref="AX5:AY5"/>
    <mergeCell ref="AZ5:BA5"/>
    <mergeCell ref="BB5:BC5"/>
    <mergeCell ref="A5:I5"/>
    <mergeCell ref="J5:O5"/>
    <mergeCell ref="AB5:AG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8" tint="-0.499984740745262"/>
  </sheetPr>
  <dimension ref="A1:BB73"/>
  <sheetViews>
    <sheetView zoomScale="85" zoomScaleNormal="85" workbookViewId="0">
      <pane xSplit="8" ySplit="6" topLeftCell="J24" activePane="bottomRight" state="frozen"/>
      <selection activeCell="J1" sqref="J1:K1048576"/>
      <selection pane="topRight" activeCell="J1" sqref="J1:K1048576"/>
      <selection pane="bottomLeft" activeCell="J1" sqref="J1:K1048576"/>
      <selection pane="bottomRight" activeCell="M26" sqref="M26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3" width="12.7109375" customWidth="1"/>
    <col min="14" max="15" width="13.7109375" customWidth="1"/>
    <col min="16" max="27" width="13.7109375" hidden="1" customWidth="1"/>
    <col min="28" max="33" width="13.7109375" customWidth="1"/>
    <col min="34" max="45" width="13.7109375" hidden="1" customWidth="1"/>
    <col min="47" max="47" width="12.7109375" customWidth="1"/>
    <col min="48" max="48" width="15.7109375" customWidth="1"/>
    <col min="49" max="49" width="12.7109375" customWidth="1"/>
    <col min="50" max="50" width="15.7109375" customWidth="1"/>
    <col min="51" max="51" width="12.7109375" customWidth="1"/>
    <col min="52" max="52" width="15.7109375" customWidth="1"/>
    <col min="53" max="53" width="12.7109375" customWidth="1"/>
    <col min="54" max="54" width="15.7109375" customWidth="1"/>
  </cols>
  <sheetData>
    <row r="1" spans="1:54" ht="15" customHeight="1" x14ac:dyDescent="0.25">
      <c r="A1" s="32" t="s">
        <v>49</v>
      </c>
    </row>
    <row r="2" spans="1:54" ht="15" customHeight="1" x14ac:dyDescent="0.25">
      <c r="A2" s="32" t="s">
        <v>50</v>
      </c>
    </row>
    <row r="3" spans="1:54" ht="15" customHeight="1" x14ac:dyDescent="0.25">
      <c r="A3" s="32" t="str">
        <f>+'201. DS'!A3</f>
        <v xml:space="preserve">EJERCICIO FISCAL 2022 - ACTUALIZADA NOVIEMBRE </v>
      </c>
    </row>
    <row r="4" spans="1:54" ht="15" customHeight="1" thickBot="1" x14ac:dyDescent="0.3"/>
    <row r="5" spans="1:54" s="115" customFormat="1" x14ac:dyDescent="0.25">
      <c r="A5" s="328" t="s">
        <v>95</v>
      </c>
      <c r="B5" s="329"/>
      <c r="C5" s="329"/>
      <c r="D5" s="329"/>
      <c r="E5" s="329"/>
      <c r="F5" s="329"/>
      <c r="G5" s="329"/>
      <c r="H5" s="329"/>
      <c r="I5" s="332"/>
      <c r="J5" s="333" t="s">
        <v>1</v>
      </c>
      <c r="K5" s="330"/>
      <c r="L5" s="330"/>
      <c r="M5" s="330"/>
      <c r="N5" s="330"/>
      <c r="O5" s="331"/>
      <c r="P5" s="38"/>
      <c r="Q5" s="39"/>
      <c r="R5" s="39"/>
      <c r="S5" s="39"/>
      <c r="T5" s="39"/>
      <c r="U5" s="39"/>
      <c r="V5" s="39"/>
      <c r="W5" s="39"/>
      <c r="X5" s="39"/>
      <c r="Y5" s="39"/>
      <c r="Z5" s="39"/>
      <c r="AA5" s="40"/>
      <c r="AB5" s="333" t="s">
        <v>2</v>
      </c>
      <c r="AC5" s="330"/>
      <c r="AD5" s="330"/>
      <c r="AE5" s="330"/>
      <c r="AF5" s="330"/>
      <c r="AG5" s="331"/>
      <c r="AH5" s="38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40"/>
      <c r="AU5" s="327" t="s">
        <v>51</v>
      </c>
      <c r="AV5" s="327"/>
      <c r="AW5" s="327" t="s">
        <v>52</v>
      </c>
      <c r="AX5" s="327"/>
      <c r="AY5" s="327" t="s">
        <v>53</v>
      </c>
      <c r="AZ5" s="327"/>
      <c r="BA5" s="327" t="s">
        <v>55</v>
      </c>
      <c r="BB5" s="327"/>
    </row>
    <row r="6" spans="1:54" s="117" customFormat="1" ht="36.75" thickBot="1" x14ac:dyDescent="0.3">
      <c r="A6" s="24" t="s">
        <v>3</v>
      </c>
      <c r="B6" s="25" t="s">
        <v>4</v>
      </c>
      <c r="C6" s="25" t="s">
        <v>5</v>
      </c>
      <c r="D6" s="25" t="s">
        <v>6</v>
      </c>
      <c r="E6" s="25" t="s">
        <v>7</v>
      </c>
      <c r="F6" s="25" t="s">
        <v>8</v>
      </c>
      <c r="G6" s="25" t="s">
        <v>9</v>
      </c>
      <c r="H6" s="69" t="s">
        <v>10</v>
      </c>
      <c r="I6" s="26" t="s">
        <v>11</v>
      </c>
      <c r="J6" s="31" t="s">
        <v>12</v>
      </c>
      <c r="K6" s="27" t="s">
        <v>65</v>
      </c>
      <c r="L6" s="27" t="s">
        <v>13</v>
      </c>
      <c r="M6" s="27" t="s">
        <v>14</v>
      </c>
      <c r="N6" s="28" t="s">
        <v>15</v>
      </c>
      <c r="O6" s="29" t="s">
        <v>16</v>
      </c>
      <c r="P6" s="41" t="s">
        <v>17</v>
      </c>
      <c r="Q6" s="28" t="s">
        <v>18</v>
      </c>
      <c r="R6" s="28" t="s">
        <v>19</v>
      </c>
      <c r="S6" s="28" t="s">
        <v>20</v>
      </c>
      <c r="T6" s="28" t="s">
        <v>21</v>
      </c>
      <c r="U6" s="28" t="s">
        <v>22</v>
      </c>
      <c r="V6" s="28" t="s">
        <v>23</v>
      </c>
      <c r="W6" s="28" t="s">
        <v>24</v>
      </c>
      <c r="X6" s="28" t="s">
        <v>25</v>
      </c>
      <c r="Y6" s="28" t="s">
        <v>26</v>
      </c>
      <c r="Z6" s="28" t="s">
        <v>27</v>
      </c>
      <c r="AA6" s="29" t="s">
        <v>28</v>
      </c>
      <c r="AB6" s="31" t="s">
        <v>12</v>
      </c>
      <c r="AC6" s="27" t="s">
        <v>65</v>
      </c>
      <c r="AD6" s="27" t="s">
        <v>13</v>
      </c>
      <c r="AE6" s="27" t="s">
        <v>14</v>
      </c>
      <c r="AF6" s="28" t="s">
        <v>15</v>
      </c>
      <c r="AG6" s="29" t="s">
        <v>16</v>
      </c>
      <c r="AH6" s="41" t="s">
        <v>17</v>
      </c>
      <c r="AI6" s="28" t="s">
        <v>18</v>
      </c>
      <c r="AJ6" s="28" t="s">
        <v>19</v>
      </c>
      <c r="AK6" s="28" t="s">
        <v>20</v>
      </c>
      <c r="AL6" s="28" t="s">
        <v>21</v>
      </c>
      <c r="AM6" s="28" t="s">
        <v>22</v>
      </c>
      <c r="AN6" s="28" t="s">
        <v>23</v>
      </c>
      <c r="AO6" s="28" t="s">
        <v>24</v>
      </c>
      <c r="AP6" s="28" t="s">
        <v>25</v>
      </c>
      <c r="AQ6" s="28" t="s">
        <v>26</v>
      </c>
      <c r="AR6" s="28" t="s">
        <v>27</v>
      </c>
      <c r="AS6" s="29" t="s">
        <v>28</v>
      </c>
      <c r="AU6" s="70" t="s">
        <v>54</v>
      </c>
      <c r="AV6" s="70" t="s">
        <v>2</v>
      </c>
      <c r="AW6" s="70" t="s">
        <v>54</v>
      </c>
      <c r="AX6" s="70" t="s">
        <v>2</v>
      </c>
      <c r="AY6" s="70" t="s">
        <v>54</v>
      </c>
      <c r="AZ6" s="70" t="s">
        <v>2</v>
      </c>
      <c r="BA6" s="70" t="s">
        <v>54</v>
      </c>
      <c r="BB6" s="70" t="s">
        <v>2</v>
      </c>
    </row>
    <row r="7" spans="1:54" s="115" customFormat="1" ht="30" x14ac:dyDescent="0.25">
      <c r="A7" s="181"/>
      <c r="B7" s="100">
        <v>13</v>
      </c>
      <c r="C7" s="100"/>
      <c r="D7" s="100"/>
      <c r="E7" s="182"/>
      <c r="F7" s="182"/>
      <c r="G7" s="182"/>
      <c r="H7" s="183" t="s">
        <v>96</v>
      </c>
      <c r="I7" s="184"/>
      <c r="J7" s="185"/>
      <c r="K7" s="186"/>
      <c r="L7" s="186"/>
      <c r="M7" s="187"/>
      <c r="N7" s="187"/>
      <c r="O7" s="188"/>
      <c r="P7" s="189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8"/>
      <c r="AB7" s="190"/>
      <c r="AC7" s="191"/>
      <c r="AD7" s="191"/>
      <c r="AE7" s="187"/>
      <c r="AF7" s="187"/>
      <c r="AG7" s="188"/>
      <c r="AH7" s="189"/>
      <c r="AI7" s="187"/>
      <c r="AJ7" s="187"/>
      <c r="AK7" s="187"/>
      <c r="AL7" s="187"/>
      <c r="AM7" s="187"/>
      <c r="AN7" s="22"/>
      <c r="AO7" s="22"/>
      <c r="AP7" s="22"/>
      <c r="AQ7" s="22"/>
      <c r="AR7" s="22"/>
      <c r="AS7" s="23"/>
      <c r="AU7" s="123"/>
      <c r="AV7" s="123"/>
      <c r="AW7" s="123"/>
      <c r="AX7" s="123"/>
      <c r="AY7" s="123"/>
      <c r="AZ7" s="123"/>
      <c r="BA7" s="123"/>
      <c r="BB7" s="123"/>
    </row>
    <row r="8" spans="1:54" s="115" customFormat="1" x14ac:dyDescent="0.25">
      <c r="A8" s="192"/>
      <c r="B8" s="96"/>
      <c r="C8" s="96">
        <v>0</v>
      </c>
      <c r="D8" s="96"/>
      <c r="E8" s="99"/>
      <c r="F8" s="99"/>
      <c r="G8" s="99"/>
      <c r="H8" s="178" t="s">
        <v>30</v>
      </c>
      <c r="I8" s="174"/>
      <c r="J8" s="170"/>
      <c r="K8" s="171"/>
      <c r="L8" s="171"/>
      <c r="M8" s="171"/>
      <c r="N8" s="171"/>
      <c r="O8" s="172"/>
      <c r="P8" s="170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2"/>
      <c r="AB8" s="170"/>
      <c r="AC8" s="171"/>
      <c r="AD8" s="171"/>
      <c r="AE8" s="171"/>
      <c r="AF8" s="171"/>
      <c r="AG8" s="172"/>
      <c r="AH8" s="170"/>
      <c r="AI8" s="171"/>
      <c r="AJ8" s="171"/>
      <c r="AK8" s="171"/>
      <c r="AL8" s="171"/>
      <c r="AM8" s="171"/>
      <c r="AN8" s="11"/>
      <c r="AO8" s="11"/>
      <c r="AP8" s="11"/>
      <c r="AQ8" s="11"/>
      <c r="AR8" s="11"/>
      <c r="AS8" s="16"/>
      <c r="AU8" s="123"/>
      <c r="AV8" s="123"/>
      <c r="AW8" s="123"/>
      <c r="AX8" s="123"/>
      <c r="AY8" s="123"/>
      <c r="AZ8" s="123"/>
      <c r="BA8" s="123"/>
      <c r="BB8" s="123"/>
    </row>
    <row r="9" spans="1:54" s="115" customFormat="1" x14ac:dyDescent="0.25">
      <c r="A9" s="192"/>
      <c r="B9" s="96"/>
      <c r="C9" s="96"/>
      <c r="D9" s="96">
        <v>0</v>
      </c>
      <c r="E9" s="99"/>
      <c r="F9" s="99"/>
      <c r="G9" s="99"/>
      <c r="H9" s="178" t="s">
        <v>31</v>
      </c>
      <c r="I9" s="174"/>
      <c r="J9" s="170"/>
      <c r="K9" s="171"/>
      <c r="L9" s="171"/>
      <c r="M9" s="171"/>
      <c r="N9" s="171"/>
      <c r="O9" s="172"/>
      <c r="P9" s="170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2"/>
      <c r="AB9" s="170"/>
      <c r="AC9" s="171"/>
      <c r="AD9" s="171"/>
      <c r="AE9" s="171"/>
      <c r="AF9" s="171"/>
      <c r="AG9" s="172"/>
      <c r="AH9" s="170"/>
      <c r="AI9" s="171"/>
      <c r="AJ9" s="171"/>
      <c r="AK9" s="171"/>
      <c r="AL9" s="171"/>
      <c r="AM9" s="171"/>
      <c r="AN9" s="11"/>
      <c r="AO9" s="11"/>
      <c r="AP9" s="11"/>
      <c r="AQ9" s="11"/>
      <c r="AR9" s="11"/>
      <c r="AS9" s="16"/>
      <c r="AU9" s="123"/>
      <c r="AV9" s="123"/>
      <c r="AW9" s="123"/>
      <c r="AX9" s="123"/>
      <c r="AY9" s="123"/>
      <c r="AZ9" s="123"/>
      <c r="BA9" s="123"/>
      <c r="BB9" s="123"/>
    </row>
    <row r="10" spans="1:54" s="115" customFormat="1" x14ac:dyDescent="0.25">
      <c r="A10" s="192"/>
      <c r="B10" s="96"/>
      <c r="C10" s="96"/>
      <c r="D10" s="96"/>
      <c r="E10" s="99">
        <v>1</v>
      </c>
      <c r="F10" s="99">
        <v>0</v>
      </c>
      <c r="G10" s="99"/>
      <c r="H10" s="178" t="s">
        <v>59</v>
      </c>
      <c r="I10" s="174"/>
      <c r="J10" s="170"/>
      <c r="K10" s="171"/>
      <c r="L10" s="171"/>
      <c r="M10" s="171"/>
      <c r="N10" s="171"/>
      <c r="O10" s="172"/>
      <c r="P10" s="170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2"/>
      <c r="AB10" s="175">
        <v>237118162.99000001</v>
      </c>
      <c r="AC10" s="176">
        <v>138666549</v>
      </c>
      <c r="AD10" s="176">
        <v>145596549</v>
      </c>
      <c r="AE10" s="176">
        <v>138624634</v>
      </c>
      <c r="AF10" s="176">
        <f>106445431.23+AG10</f>
        <v>113376977.55000001</v>
      </c>
      <c r="AG10" s="176">
        <f>+AR10</f>
        <v>6931546.3200000003</v>
      </c>
      <c r="AH10" s="175">
        <v>6181760.2999999998</v>
      </c>
      <c r="AI10" s="176">
        <v>6142695.3300000001</v>
      </c>
      <c r="AJ10" s="176">
        <v>6525907.1500000004</v>
      </c>
      <c r="AK10" s="176">
        <v>6990492.71</v>
      </c>
      <c r="AL10" s="176">
        <v>22953446.91</v>
      </c>
      <c r="AM10" s="176">
        <v>23222201.510000002</v>
      </c>
      <c r="AN10" s="9">
        <v>48642702.93</v>
      </c>
      <c r="AO10" s="9">
        <v>2233383.5499999998</v>
      </c>
      <c r="AP10" s="9">
        <v>1902548.6</v>
      </c>
      <c r="AQ10" s="9">
        <v>7265728.0800000001</v>
      </c>
      <c r="AR10" s="9">
        <v>6931546.3200000003</v>
      </c>
      <c r="AS10" s="10">
        <v>0</v>
      </c>
      <c r="AU10" s="123"/>
      <c r="AV10" s="123"/>
      <c r="AW10" s="123"/>
      <c r="AX10" s="123"/>
      <c r="AY10" s="123"/>
      <c r="AZ10" s="123"/>
      <c r="BA10" s="123"/>
      <c r="BB10" s="123"/>
    </row>
    <row r="11" spans="1:54" s="115" customFormat="1" x14ac:dyDescent="0.25">
      <c r="A11" s="192">
        <v>4</v>
      </c>
      <c r="B11" s="96"/>
      <c r="C11" s="96"/>
      <c r="D11" s="96"/>
      <c r="E11" s="96"/>
      <c r="F11" s="96"/>
      <c r="G11" s="96">
        <v>1</v>
      </c>
      <c r="H11" s="178" t="s">
        <v>60</v>
      </c>
      <c r="I11" s="180" t="s">
        <v>34</v>
      </c>
      <c r="J11" s="175">
        <f>J12</f>
        <v>1220</v>
      </c>
      <c r="K11" s="176">
        <f t="shared" ref="K11:AA11" si="0">K12</f>
        <v>700</v>
      </c>
      <c r="L11" s="176">
        <f t="shared" si="0"/>
        <v>700</v>
      </c>
      <c r="M11" s="176">
        <v>1608</v>
      </c>
      <c r="N11" s="176">
        <f>N12</f>
        <v>1481</v>
      </c>
      <c r="O11" s="176">
        <f>+Z11</f>
        <v>582</v>
      </c>
      <c r="P11" s="175">
        <f t="shared" si="0"/>
        <v>0</v>
      </c>
      <c r="Q11" s="176">
        <f t="shared" si="0"/>
        <v>734</v>
      </c>
      <c r="R11" s="176">
        <f t="shared" si="0"/>
        <v>24</v>
      </c>
      <c r="S11" s="176">
        <f t="shared" si="0"/>
        <v>11</v>
      </c>
      <c r="T11" s="176">
        <f t="shared" si="0"/>
        <v>24</v>
      </c>
      <c r="U11" s="176">
        <f>U12</f>
        <v>24</v>
      </c>
      <c r="V11" s="176">
        <f t="shared" si="0"/>
        <v>0</v>
      </c>
      <c r="W11" s="176">
        <f t="shared" si="0"/>
        <v>24</v>
      </c>
      <c r="X11" s="176">
        <f t="shared" si="0"/>
        <v>36</v>
      </c>
      <c r="Y11" s="176">
        <v>22</v>
      </c>
      <c r="Z11" s="176">
        <v>582</v>
      </c>
      <c r="AA11" s="177">
        <f t="shared" si="0"/>
        <v>0</v>
      </c>
      <c r="AB11" s="170"/>
      <c r="AC11" s="171"/>
      <c r="AD11" s="171"/>
      <c r="AE11" s="171"/>
      <c r="AF11" s="176"/>
      <c r="AG11" s="176"/>
      <c r="AH11" s="175"/>
      <c r="AI11" s="176"/>
      <c r="AJ11" s="176"/>
      <c r="AK11" s="176"/>
      <c r="AL11" s="176"/>
      <c r="AM11" s="176"/>
      <c r="AN11" s="9"/>
      <c r="AO11" s="9"/>
      <c r="AP11" s="9"/>
      <c r="AQ11" s="9"/>
      <c r="AR11" s="9"/>
      <c r="AS11" s="10"/>
      <c r="AU11" s="124">
        <v>1281</v>
      </c>
      <c r="AV11" s="124">
        <v>240674935.43484998</v>
      </c>
      <c r="AW11" s="124">
        <v>1345.0500000000002</v>
      </c>
      <c r="AX11" s="124">
        <v>244285059.46637273</v>
      </c>
      <c r="AY11" s="124">
        <v>1412.3025</v>
      </c>
      <c r="AZ11" s="124">
        <v>247949335.35836834</v>
      </c>
      <c r="BA11" s="124">
        <v>1482.917625</v>
      </c>
      <c r="BB11" s="124">
        <v>251668575.38874388</v>
      </c>
    </row>
    <row r="12" spans="1:54" s="115" customFormat="1" x14ac:dyDescent="0.25">
      <c r="A12" s="192"/>
      <c r="B12" s="96"/>
      <c r="C12" s="96"/>
      <c r="D12" s="96"/>
      <c r="E12" s="99"/>
      <c r="F12" s="99"/>
      <c r="G12" s="99">
        <v>2</v>
      </c>
      <c r="H12" s="179" t="s">
        <v>60</v>
      </c>
      <c r="I12" s="174" t="s">
        <v>34</v>
      </c>
      <c r="J12" s="170">
        <v>1220</v>
      </c>
      <c r="K12" s="171">
        <v>700</v>
      </c>
      <c r="L12" s="171">
        <v>700</v>
      </c>
      <c r="M12" s="171">
        <v>1608</v>
      </c>
      <c r="N12" s="171">
        <f>+SUM(P12:AA12)</f>
        <v>1481</v>
      </c>
      <c r="O12" s="176">
        <f>+Z12</f>
        <v>582</v>
      </c>
      <c r="P12" s="170">
        <v>0</v>
      </c>
      <c r="Q12" s="171">
        <v>734</v>
      </c>
      <c r="R12" s="171">
        <v>24</v>
      </c>
      <c r="S12" s="171">
        <v>11</v>
      </c>
      <c r="T12" s="171">
        <v>24</v>
      </c>
      <c r="U12" s="171">
        <v>24</v>
      </c>
      <c r="V12" s="171">
        <v>0</v>
      </c>
      <c r="W12" s="171">
        <v>24</v>
      </c>
      <c r="X12" s="171">
        <v>36</v>
      </c>
      <c r="Y12" s="171">
        <v>22</v>
      </c>
      <c r="Z12" s="171">
        <v>582</v>
      </c>
      <c r="AA12" s="172">
        <v>0</v>
      </c>
      <c r="AB12" s="170"/>
      <c r="AC12" s="171"/>
      <c r="AD12" s="171"/>
      <c r="AE12" s="171"/>
      <c r="AF12" s="176"/>
      <c r="AG12" s="176"/>
      <c r="AH12" s="175"/>
      <c r="AI12" s="176"/>
      <c r="AJ12" s="176"/>
      <c r="AK12" s="176"/>
      <c r="AL12" s="176"/>
      <c r="AM12" s="176"/>
      <c r="AN12" s="9"/>
      <c r="AO12" s="9"/>
      <c r="AP12" s="9"/>
      <c r="AQ12" s="9"/>
      <c r="AR12" s="9"/>
      <c r="AS12" s="10"/>
      <c r="AU12" s="123"/>
      <c r="AV12" s="123"/>
      <c r="AW12" s="123"/>
      <c r="AX12" s="123"/>
      <c r="AY12" s="123"/>
      <c r="AZ12" s="123"/>
      <c r="BA12" s="123"/>
      <c r="BB12" s="123"/>
    </row>
    <row r="13" spans="1:54" s="115" customFormat="1" x14ac:dyDescent="0.25">
      <c r="A13" s="192"/>
      <c r="B13" s="96"/>
      <c r="C13" s="96"/>
      <c r="D13" s="96"/>
      <c r="E13" s="96">
        <v>2</v>
      </c>
      <c r="F13" s="96">
        <v>0</v>
      </c>
      <c r="G13" s="96"/>
      <c r="H13" s="178" t="s">
        <v>97</v>
      </c>
      <c r="I13" s="180"/>
      <c r="J13" s="175"/>
      <c r="K13" s="176"/>
      <c r="L13" s="176"/>
      <c r="M13" s="176"/>
      <c r="N13" s="176"/>
      <c r="O13" s="176"/>
      <c r="P13" s="175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7"/>
      <c r="AB13" s="175">
        <v>87600000</v>
      </c>
      <c r="AC13" s="176">
        <v>20029540</v>
      </c>
      <c r="AD13" s="176">
        <v>20029540</v>
      </c>
      <c r="AE13" s="176">
        <v>28979400</v>
      </c>
      <c r="AF13" s="176">
        <f>18522098.29+AG13</f>
        <v>21121944.219999999</v>
      </c>
      <c r="AG13" s="176">
        <f>+AR13</f>
        <v>2599845.9300000002</v>
      </c>
      <c r="AH13" s="175">
        <v>1579583.56</v>
      </c>
      <c r="AI13" s="176">
        <v>1451665.63</v>
      </c>
      <c r="AJ13" s="176">
        <v>1426285.39</v>
      </c>
      <c r="AK13" s="176">
        <v>1456183.57</v>
      </c>
      <c r="AL13" s="176">
        <v>1538826.68</v>
      </c>
      <c r="AM13" s="176">
        <v>1285920.33</v>
      </c>
      <c r="AN13" s="9">
        <v>2872269.7</v>
      </c>
      <c r="AO13" s="9">
        <v>566724.68999999994</v>
      </c>
      <c r="AP13" s="9">
        <v>604031.81999999995</v>
      </c>
      <c r="AQ13" s="9">
        <v>2821746.87</v>
      </c>
      <c r="AR13" s="9">
        <v>2599845.9300000002</v>
      </c>
      <c r="AS13" s="10">
        <v>0</v>
      </c>
      <c r="AU13" s="123"/>
      <c r="AV13" s="123"/>
      <c r="AW13" s="123"/>
      <c r="AX13" s="123"/>
      <c r="AY13" s="123"/>
      <c r="AZ13" s="123"/>
      <c r="BA13" s="123"/>
      <c r="BB13" s="123"/>
    </row>
    <row r="14" spans="1:54" s="115" customFormat="1" x14ac:dyDescent="0.25">
      <c r="A14" s="192">
        <v>4</v>
      </c>
      <c r="B14" s="96"/>
      <c r="C14" s="96"/>
      <c r="D14" s="96"/>
      <c r="E14" s="96"/>
      <c r="F14" s="96"/>
      <c r="G14" s="96">
        <v>1</v>
      </c>
      <c r="H14" s="178" t="s">
        <v>98</v>
      </c>
      <c r="I14" s="180" t="s">
        <v>99</v>
      </c>
      <c r="J14" s="175">
        <f>+J19+J20+J21</f>
        <v>6996</v>
      </c>
      <c r="K14" s="176">
        <f>+K19+K20+K21</f>
        <v>4619</v>
      </c>
      <c r="L14" s="176">
        <f>+L19+L20+L21</f>
        <v>4619</v>
      </c>
      <c r="M14" s="176">
        <v>5561</v>
      </c>
      <c r="N14" s="176">
        <f>3702+O14</f>
        <v>4068</v>
      </c>
      <c r="O14" s="176">
        <f>+Z14</f>
        <v>366</v>
      </c>
      <c r="P14" s="175">
        <f>SUM(P19:P21)</f>
        <v>0</v>
      </c>
      <c r="Q14" s="176">
        <f>SUM(Q19:Q21)</f>
        <v>902</v>
      </c>
      <c r="R14" s="176">
        <f>SUM(R19:R21)</f>
        <v>456</v>
      </c>
      <c r="S14" s="176">
        <f t="shared" ref="S14:AA14" si="1">SUM(S19:S21)</f>
        <v>455</v>
      </c>
      <c r="T14" s="176">
        <f t="shared" si="1"/>
        <v>446</v>
      </c>
      <c r="U14" s="176">
        <v>435</v>
      </c>
      <c r="V14" s="176">
        <f>SUM(V19:V21)</f>
        <v>382</v>
      </c>
      <c r="W14" s="176">
        <v>377</v>
      </c>
      <c r="X14" s="176">
        <v>322</v>
      </c>
      <c r="Y14" s="176">
        <v>309</v>
      </c>
      <c r="Z14" s="176">
        <v>366</v>
      </c>
      <c r="AA14" s="177">
        <f t="shared" si="1"/>
        <v>0</v>
      </c>
      <c r="AB14" s="170"/>
      <c r="AC14" s="171"/>
      <c r="AD14" s="171"/>
      <c r="AE14" s="171"/>
      <c r="AF14" s="176"/>
      <c r="AG14" s="176"/>
      <c r="AH14" s="175"/>
      <c r="AI14" s="176"/>
      <c r="AJ14" s="176"/>
      <c r="AK14" s="176"/>
      <c r="AL14" s="176"/>
      <c r="AM14" s="176"/>
      <c r="AN14" s="9"/>
      <c r="AO14" s="9"/>
      <c r="AP14" s="9"/>
      <c r="AQ14" s="9"/>
      <c r="AR14" s="9"/>
      <c r="AS14" s="10"/>
      <c r="AU14" s="124">
        <v>7350</v>
      </c>
      <c r="AV14" s="124">
        <v>88914000</v>
      </c>
      <c r="AW14" s="124">
        <v>7717</v>
      </c>
      <c r="AX14" s="124">
        <v>90247710</v>
      </c>
      <c r="AY14" s="124">
        <v>8103</v>
      </c>
      <c r="AZ14" s="124">
        <v>91601425.649999991</v>
      </c>
      <c r="BA14" s="124">
        <v>8509</v>
      </c>
      <c r="BB14" s="124">
        <v>92975447.03475</v>
      </c>
    </row>
    <row r="15" spans="1:54" s="115" customFormat="1" ht="27" x14ac:dyDescent="0.25">
      <c r="A15" s="192"/>
      <c r="B15" s="96"/>
      <c r="C15" s="96"/>
      <c r="D15" s="96"/>
      <c r="E15" s="99"/>
      <c r="F15" s="99"/>
      <c r="G15" s="99">
        <v>2</v>
      </c>
      <c r="H15" s="179" t="s">
        <v>100</v>
      </c>
      <c r="I15" s="174" t="s">
        <v>101</v>
      </c>
      <c r="J15" s="170">
        <v>1491288</v>
      </c>
      <c r="K15" s="171">
        <v>970291</v>
      </c>
      <c r="L15" s="171">
        <v>970271</v>
      </c>
      <c r="M15" s="171">
        <v>1170673</v>
      </c>
      <c r="N15" s="171">
        <f>841962+O15</f>
        <v>952605</v>
      </c>
      <c r="O15" s="176">
        <f>+Z15</f>
        <v>110643</v>
      </c>
      <c r="P15" s="170">
        <v>0</v>
      </c>
      <c r="Q15" s="171">
        <v>165383</v>
      </c>
      <c r="R15" s="171">
        <v>82834</v>
      </c>
      <c r="S15" s="171">
        <v>82855</v>
      </c>
      <c r="T15" s="171">
        <v>82845</v>
      </c>
      <c r="U15" s="171">
        <v>82836</v>
      </c>
      <c r="V15" s="171">
        <v>79216</v>
      </c>
      <c r="W15" s="171">
        <v>82855</v>
      </c>
      <c r="X15" s="171">
        <v>99712</v>
      </c>
      <c r="Y15" s="171">
        <v>82128</v>
      </c>
      <c r="Z15" s="171">
        <v>110643</v>
      </c>
      <c r="AA15" s="172">
        <v>0</v>
      </c>
      <c r="AB15" s="170"/>
      <c r="AC15" s="171"/>
      <c r="AD15" s="171"/>
      <c r="AE15" s="171"/>
      <c r="AF15" s="176"/>
      <c r="AG15" s="176"/>
      <c r="AH15" s="175"/>
      <c r="AI15" s="176"/>
      <c r="AJ15" s="176"/>
      <c r="AK15" s="176"/>
      <c r="AL15" s="176"/>
      <c r="AM15" s="176"/>
      <c r="AN15" s="9"/>
      <c r="AO15" s="9"/>
      <c r="AP15" s="9"/>
      <c r="AQ15" s="9"/>
      <c r="AR15" s="9"/>
      <c r="AS15" s="10"/>
      <c r="AU15" s="123"/>
      <c r="AV15" s="123"/>
      <c r="AW15" s="123"/>
      <c r="AX15" s="123"/>
      <c r="AY15" s="123"/>
      <c r="AZ15" s="123"/>
      <c r="BA15" s="123"/>
      <c r="BB15" s="123"/>
    </row>
    <row r="16" spans="1:54" s="115" customFormat="1" ht="27" x14ac:dyDescent="0.25">
      <c r="A16" s="192"/>
      <c r="B16" s="96"/>
      <c r="C16" s="96"/>
      <c r="D16" s="96"/>
      <c r="E16" s="99"/>
      <c r="F16" s="99"/>
      <c r="G16" s="99">
        <v>3</v>
      </c>
      <c r="H16" s="179" t="s">
        <v>102</v>
      </c>
      <c r="I16" s="174" t="s">
        <v>101</v>
      </c>
      <c r="J16" s="170">
        <v>1475112</v>
      </c>
      <c r="K16" s="171">
        <v>973574</v>
      </c>
      <c r="L16" s="171">
        <v>973574</v>
      </c>
      <c r="M16" s="171">
        <v>1161669</v>
      </c>
      <c r="N16" s="171">
        <f>857332+O16</f>
        <v>968230</v>
      </c>
      <c r="O16" s="176">
        <f>+Z16</f>
        <v>110898</v>
      </c>
      <c r="P16" s="170">
        <v>0</v>
      </c>
      <c r="Q16" s="171">
        <v>167297</v>
      </c>
      <c r="R16" s="171">
        <v>83713</v>
      </c>
      <c r="S16" s="171">
        <v>83713</v>
      </c>
      <c r="T16" s="171">
        <v>83713</v>
      </c>
      <c r="U16" s="171">
        <v>83713</v>
      </c>
      <c r="V16" s="171">
        <v>80881</v>
      </c>
      <c r="W16" s="171">
        <v>83713</v>
      </c>
      <c r="X16" s="171">
        <v>107034</v>
      </c>
      <c r="Y16" s="171">
        <v>83072</v>
      </c>
      <c r="Z16" s="171">
        <v>110898</v>
      </c>
      <c r="AA16" s="172">
        <v>0</v>
      </c>
      <c r="AB16" s="170"/>
      <c r="AC16" s="171"/>
      <c r="AD16" s="171"/>
      <c r="AE16" s="171"/>
      <c r="AF16" s="176"/>
      <c r="AG16" s="176"/>
      <c r="AH16" s="175"/>
      <c r="AI16" s="176"/>
      <c r="AJ16" s="176"/>
      <c r="AK16" s="176"/>
      <c r="AL16" s="176"/>
      <c r="AM16" s="176"/>
      <c r="AN16" s="9"/>
      <c r="AO16" s="9"/>
      <c r="AP16" s="9"/>
      <c r="AQ16" s="9"/>
      <c r="AR16" s="9"/>
      <c r="AS16" s="10"/>
      <c r="AU16" s="123"/>
      <c r="AV16" s="123"/>
      <c r="AW16" s="123"/>
      <c r="AX16" s="123"/>
      <c r="AY16" s="123"/>
      <c r="AZ16" s="123"/>
      <c r="BA16" s="123"/>
      <c r="BB16" s="123"/>
    </row>
    <row r="17" spans="1:54" s="115" customFormat="1" x14ac:dyDescent="0.25">
      <c r="A17" s="192"/>
      <c r="B17" s="96"/>
      <c r="C17" s="96"/>
      <c r="D17" s="96"/>
      <c r="E17" s="99"/>
      <c r="F17" s="99"/>
      <c r="G17" s="99">
        <v>4</v>
      </c>
      <c r="H17" s="179" t="s">
        <v>103</v>
      </c>
      <c r="I17" s="174" t="s">
        <v>104</v>
      </c>
      <c r="J17" s="170">
        <v>34559016</v>
      </c>
      <c r="K17" s="171">
        <v>22808951</v>
      </c>
      <c r="L17" s="171">
        <v>22808951</v>
      </c>
      <c r="M17" s="171">
        <v>33233244</v>
      </c>
      <c r="N17" s="171">
        <f>+SUM(P17:AA17)</f>
        <v>27732429</v>
      </c>
      <c r="O17" s="176">
        <f>+Z17</f>
        <v>2727161</v>
      </c>
      <c r="P17" s="170">
        <v>0</v>
      </c>
      <c r="Q17" s="171">
        <v>4378289</v>
      </c>
      <c r="R17" s="171">
        <v>2354665</v>
      </c>
      <c r="S17" s="171">
        <v>2404011</v>
      </c>
      <c r="T17" s="171">
        <v>2671160</v>
      </c>
      <c r="U17" s="171">
        <v>2319150</v>
      </c>
      <c r="V17" s="171">
        <v>2593232</v>
      </c>
      <c r="W17" s="171">
        <v>2775745</v>
      </c>
      <c r="X17" s="171">
        <v>2733271</v>
      </c>
      <c r="Y17" s="171">
        <v>2775745</v>
      </c>
      <c r="Z17" s="171">
        <v>2727161</v>
      </c>
      <c r="AA17" s="172">
        <v>0</v>
      </c>
      <c r="AB17" s="170"/>
      <c r="AC17" s="171"/>
      <c r="AD17" s="171"/>
      <c r="AE17" s="171"/>
      <c r="AF17" s="176"/>
      <c r="AG17" s="176"/>
      <c r="AH17" s="175"/>
      <c r="AI17" s="176"/>
      <c r="AJ17" s="176"/>
      <c r="AK17" s="176"/>
      <c r="AL17" s="176"/>
      <c r="AM17" s="176"/>
      <c r="AN17" s="9"/>
      <c r="AO17" s="9"/>
      <c r="AP17" s="9"/>
      <c r="AQ17" s="9"/>
      <c r="AR17" s="9"/>
      <c r="AS17" s="10"/>
      <c r="AU17" s="123"/>
      <c r="AV17" s="123"/>
      <c r="AW17" s="123"/>
      <c r="AX17" s="123"/>
      <c r="AY17" s="123"/>
      <c r="AZ17" s="123"/>
      <c r="BA17" s="123"/>
      <c r="BB17" s="123"/>
    </row>
    <row r="18" spans="1:54" s="115" customFormat="1" x14ac:dyDescent="0.25">
      <c r="A18" s="192"/>
      <c r="B18" s="96"/>
      <c r="C18" s="96"/>
      <c r="D18" s="96"/>
      <c r="E18" s="99"/>
      <c r="F18" s="99"/>
      <c r="G18" s="99">
        <v>5</v>
      </c>
      <c r="H18" s="179" t="s">
        <v>105</v>
      </c>
      <c r="I18" s="174" t="s">
        <v>104</v>
      </c>
      <c r="J18" s="170">
        <v>24612732</v>
      </c>
      <c r="K18" s="171">
        <v>16244403</v>
      </c>
      <c r="L18" s="171">
        <v>16244403</v>
      </c>
      <c r="M18" s="171">
        <v>23795185</v>
      </c>
      <c r="N18" s="171">
        <f>+SUM(P18:AA18)</f>
        <v>21454131</v>
      </c>
      <c r="O18" s="176">
        <f>+Z18</f>
        <v>2225912</v>
      </c>
      <c r="P18" s="170">
        <v>0</v>
      </c>
      <c r="Q18" s="171">
        <v>3957400</v>
      </c>
      <c r="R18" s="171">
        <v>1978700</v>
      </c>
      <c r="S18" s="171">
        <v>1978700</v>
      </c>
      <c r="T18" s="171">
        <v>1721048</v>
      </c>
      <c r="U18" s="171">
        <v>1809098</v>
      </c>
      <c r="V18" s="171">
        <v>1978700</v>
      </c>
      <c r="W18" s="171">
        <v>1903072</v>
      </c>
      <c r="X18" s="171">
        <v>1922801</v>
      </c>
      <c r="Y18" s="171">
        <v>1978700</v>
      </c>
      <c r="Z18" s="171">
        <v>2225912</v>
      </c>
      <c r="AA18" s="172">
        <v>0</v>
      </c>
      <c r="AB18" s="170"/>
      <c r="AC18" s="171"/>
      <c r="AD18" s="171"/>
      <c r="AE18" s="171"/>
      <c r="AF18" s="176"/>
      <c r="AG18" s="176"/>
      <c r="AH18" s="175"/>
      <c r="AI18" s="176"/>
      <c r="AJ18" s="176"/>
      <c r="AK18" s="176"/>
      <c r="AL18" s="176"/>
      <c r="AM18" s="176"/>
      <c r="AN18" s="9"/>
      <c r="AO18" s="9"/>
      <c r="AP18" s="9"/>
      <c r="AQ18" s="9"/>
      <c r="AR18" s="9"/>
      <c r="AS18" s="10"/>
      <c r="AU18" s="123"/>
      <c r="AV18" s="123"/>
      <c r="AW18" s="123"/>
      <c r="AX18" s="123"/>
      <c r="AY18" s="123"/>
      <c r="AZ18" s="123"/>
      <c r="BA18" s="123"/>
      <c r="BB18" s="123"/>
    </row>
    <row r="19" spans="1:54" s="115" customFormat="1" x14ac:dyDescent="0.25">
      <c r="A19" s="192"/>
      <c r="B19" s="99"/>
      <c r="C19" s="99"/>
      <c r="D19" s="99"/>
      <c r="E19" s="99"/>
      <c r="F19" s="99"/>
      <c r="G19" s="99">
        <v>6</v>
      </c>
      <c r="H19" s="179" t="s">
        <v>106</v>
      </c>
      <c r="I19" s="174" t="s">
        <v>99</v>
      </c>
      <c r="J19" s="170">
        <v>516</v>
      </c>
      <c r="K19" s="171">
        <v>341</v>
      </c>
      <c r="L19" s="171">
        <v>341</v>
      </c>
      <c r="M19" s="171">
        <v>530</v>
      </c>
      <c r="N19" s="171">
        <f>+SUM(P19:AA19)</f>
        <v>402</v>
      </c>
      <c r="O19" s="176">
        <f>+Z19</f>
        <v>49</v>
      </c>
      <c r="P19" s="170">
        <v>0</v>
      </c>
      <c r="Q19" s="171">
        <v>66</v>
      </c>
      <c r="R19" s="171">
        <v>38</v>
      </c>
      <c r="S19" s="171">
        <v>37</v>
      </c>
      <c r="T19" s="171">
        <v>28</v>
      </c>
      <c r="U19" s="171">
        <v>35</v>
      </c>
      <c r="V19" s="171">
        <v>38</v>
      </c>
      <c r="W19" s="171">
        <v>38</v>
      </c>
      <c r="X19" s="171">
        <v>35</v>
      </c>
      <c r="Y19" s="171">
        <v>38</v>
      </c>
      <c r="Z19" s="171">
        <v>49</v>
      </c>
      <c r="AA19" s="172">
        <v>0</v>
      </c>
      <c r="AB19" s="170"/>
      <c r="AC19" s="171"/>
      <c r="AD19" s="171"/>
      <c r="AE19" s="171"/>
      <c r="AF19" s="176"/>
      <c r="AG19" s="176"/>
      <c r="AH19" s="175"/>
      <c r="AI19" s="176"/>
      <c r="AJ19" s="176"/>
      <c r="AK19" s="176"/>
      <c r="AL19" s="176"/>
      <c r="AM19" s="176"/>
      <c r="AN19" s="9"/>
      <c r="AO19" s="9"/>
      <c r="AP19" s="9"/>
      <c r="AQ19" s="9"/>
      <c r="AR19" s="9"/>
      <c r="AS19" s="10"/>
      <c r="AU19" s="123"/>
      <c r="AV19" s="123"/>
      <c r="AW19" s="123"/>
      <c r="AX19" s="123"/>
      <c r="AY19" s="123"/>
      <c r="AZ19" s="123"/>
      <c r="BA19" s="123"/>
      <c r="BB19" s="123"/>
    </row>
    <row r="20" spans="1:54" s="115" customFormat="1" ht="27" x14ac:dyDescent="0.25">
      <c r="A20" s="192"/>
      <c r="B20" s="99"/>
      <c r="C20" s="99"/>
      <c r="D20" s="99"/>
      <c r="E20" s="99"/>
      <c r="F20" s="99"/>
      <c r="G20" s="99">
        <v>7</v>
      </c>
      <c r="H20" s="179" t="s">
        <v>107</v>
      </c>
      <c r="I20" s="174" t="s">
        <v>99</v>
      </c>
      <c r="J20" s="170">
        <v>168</v>
      </c>
      <c r="K20" s="171">
        <v>111</v>
      </c>
      <c r="L20" s="171">
        <v>111</v>
      </c>
      <c r="M20" s="171">
        <v>161</v>
      </c>
      <c r="N20" s="171">
        <f>+SUM(P20:AA20)</f>
        <v>146</v>
      </c>
      <c r="O20" s="176">
        <f>+Z20</f>
        <v>17</v>
      </c>
      <c r="P20" s="170">
        <v>0</v>
      </c>
      <c r="Q20" s="171">
        <v>26</v>
      </c>
      <c r="R20" s="171">
        <v>13</v>
      </c>
      <c r="S20" s="171">
        <v>13</v>
      </c>
      <c r="T20" s="171">
        <v>13</v>
      </c>
      <c r="U20" s="171">
        <v>13</v>
      </c>
      <c r="V20" s="171">
        <v>13</v>
      </c>
      <c r="W20" s="171">
        <v>11</v>
      </c>
      <c r="X20" s="171">
        <v>14</v>
      </c>
      <c r="Y20" s="171">
        <v>13</v>
      </c>
      <c r="Z20" s="171">
        <v>17</v>
      </c>
      <c r="AA20" s="172">
        <v>0</v>
      </c>
      <c r="AB20" s="170"/>
      <c r="AC20" s="171"/>
      <c r="AD20" s="171"/>
      <c r="AE20" s="171"/>
      <c r="AF20" s="176"/>
      <c r="AG20" s="176"/>
      <c r="AH20" s="175"/>
      <c r="AI20" s="176"/>
      <c r="AJ20" s="176"/>
      <c r="AK20" s="176"/>
      <c r="AL20" s="176"/>
      <c r="AM20" s="176"/>
      <c r="AN20" s="9"/>
      <c r="AO20" s="9"/>
      <c r="AP20" s="9"/>
      <c r="AQ20" s="9"/>
      <c r="AR20" s="9"/>
      <c r="AS20" s="10"/>
      <c r="AU20" s="123"/>
      <c r="AV20" s="123"/>
      <c r="AW20" s="123"/>
      <c r="AX20" s="123"/>
      <c r="AY20" s="123"/>
      <c r="AZ20" s="123"/>
      <c r="BA20" s="123"/>
      <c r="BB20" s="123"/>
    </row>
    <row r="21" spans="1:54" s="115" customFormat="1" ht="27" x14ac:dyDescent="0.25">
      <c r="A21" s="192"/>
      <c r="B21" s="99"/>
      <c r="C21" s="99"/>
      <c r="D21" s="99"/>
      <c r="E21" s="99"/>
      <c r="F21" s="99"/>
      <c r="G21" s="99">
        <v>8</v>
      </c>
      <c r="H21" s="179" t="s">
        <v>108</v>
      </c>
      <c r="I21" s="174" t="s">
        <v>99</v>
      </c>
      <c r="J21" s="170">
        <v>6312</v>
      </c>
      <c r="K21" s="171">
        <v>4167</v>
      </c>
      <c r="L21" s="171">
        <v>4167</v>
      </c>
      <c r="M21" s="171">
        <v>4870</v>
      </c>
      <c r="N21" s="171">
        <f>+SUM(P21:AA21)</f>
        <v>3895</v>
      </c>
      <c r="O21" s="176">
        <f>+Z21</f>
        <v>300</v>
      </c>
      <c r="P21" s="170">
        <v>0</v>
      </c>
      <c r="Q21" s="171">
        <v>810</v>
      </c>
      <c r="R21" s="171">
        <v>405</v>
      </c>
      <c r="S21" s="171">
        <v>405</v>
      </c>
      <c r="T21" s="171">
        <v>405</v>
      </c>
      <c r="U21" s="171">
        <v>387</v>
      </c>
      <c r="V21" s="171">
        <v>331</v>
      </c>
      <c r="W21" s="171">
        <v>321</v>
      </c>
      <c r="X21" s="171">
        <v>273</v>
      </c>
      <c r="Y21" s="171">
        <v>258</v>
      </c>
      <c r="Z21" s="171">
        <v>300</v>
      </c>
      <c r="AA21" s="172">
        <v>0</v>
      </c>
      <c r="AB21" s="170"/>
      <c r="AC21" s="171"/>
      <c r="AD21" s="171"/>
      <c r="AE21" s="171"/>
      <c r="AF21" s="176"/>
      <c r="AG21" s="176"/>
      <c r="AH21" s="175"/>
      <c r="AI21" s="176"/>
      <c r="AJ21" s="176"/>
      <c r="AK21" s="176"/>
      <c r="AL21" s="176"/>
      <c r="AM21" s="176"/>
      <c r="AN21" s="9"/>
      <c r="AO21" s="9"/>
      <c r="AP21" s="9"/>
      <c r="AQ21" s="9"/>
      <c r="AR21" s="9"/>
      <c r="AS21" s="10"/>
      <c r="AU21" s="123"/>
      <c r="AV21" s="123"/>
      <c r="AW21" s="123"/>
      <c r="AX21" s="123"/>
      <c r="AY21" s="123"/>
      <c r="AZ21" s="123"/>
      <c r="BA21" s="123"/>
      <c r="BB21" s="123"/>
    </row>
    <row r="22" spans="1:54" s="115" customFormat="1" x14ac:dyDescent="0.25">
      <c r="A22" s="192"/>
      <c r="B22" s="96"/>
      <c r="C22" s="96"/>
      <c r="D22" s="96"/>
      <c r="E22" s="96">
        <v>3</v>
      </c>
      <c r="F22" s="96">
        <v>0</v>
      </c>
      <c r="G22" s="96"/>
      <c r="H22" s="178" t="s">
        <v>109</v>
      </c>
      <c r="I22" s="180"/>
      <c r="J22" s="175"/>
      <c r="K22" s="176"/>
      <c r="L22" s="176"/>
      <c r="M22" s="176"/>
      <c r="N22" s="176"/>
      <c r="O22" s="176"/>
      <c r="P22" s="175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7"/>
      <c r="AB22" s="175">
        <v>38400000</v>
      </c>
      <c r="AC22" s="176">
        <v>12682375</v>
      </c>
      <c r="AD22" s="176">
        <v>12682375</v>
      </c>
      <c r="AE22" s="176">
        <v>12682375</v>
      </c>
      <c r="AF22" s="176">
        <f>9998447.17+AG22</f>
        <v>10965269.75</v>
      </c>
      <c r="AG22" s="176">
        <f>+AR22</f>
        <v>966822.58</v>
      </c>
      <c r="AH22" s="175">
        <v>772129.07</v>
      </c>
      <c r="AI22" s="176">
        <v>778000</v>
      </c>
      <c r="AJ22" s="176">
        <v>1134499.93</v>
      </c>
      <c r="AK22" s="176">
        <v>1053306.43</v>
      </c>
      <c r="AL22" s="176">
        <v>1112896.6599999999</v>
      </c>
      <c r="AM22" s="176">
        <v>0</v>
      </c>
      <c r="AN22" s="9">
        <v>7930</v>
      </c>
      <c r="AO22" s="9">
        <v>0</v>
      </c>
      <c r="AP22" s="9">
        <v>0</v>
      </c>
      <c r="AQ22" s="9">
        <v>962758.1</v>
      </c>
      <c r="AR22" s="9">
        <v>966822.58</v>
      </c>
      <c r="AS22" s="10">
        <v>0</v>
      </c>
      <c r="AU22" s="123"/>
      <c r="AV22" s="123"/>
      <c r="AW22" s="123"/>
      <c r="AX22" s="123"/>
      <c r="AY22" s="123"/>
      <c r="AZ22" s="123"/>
      <c r="BA22" s="123"/>
      <c r="BB22" s="123"/>
    </row>
    <row r="23" spans="1:54" s="115" customFormat="1" ht="30" x14ac:dyDescent="0.25">
      <c r="A23" s="192">
        <v>4</v>
      </c>
      <c r="B23" s="96"/>
      <c r="C23" s="96"/>
      <c r="D23" s="96"/>
      <c r="E23" s="96"/>
      <c r="F23" s="96"/>
      <c r="G23" s="96">
        <v>1</v>
      </c>
      <c r="H23" s="178" t="s">
        <v>115</v>
      </c>
      <c r="I23" s="180" t="s">
        <v>99</v>
      </c>
      <c r="J23" s="175">
        <f t="shared" ref="J23:AA23" si="2">+J24</f>
        <v>66286</v>
      </c>
      <c r="K23" s="176">
        <f t="shared" si="2"/>
        <v>43749</v>
      </c>
      <c r="L23" s="176">
        <f t="shared" si="2"/>
        <v>43749</v>
      </c>
      <c r="M23" s="176">
        <f t="shared" si="2"/>
        <v>76011</v>
      </c>
      <c r="N23" s="176">
        <f t="shared" si="2"/>
        <v>64827</v>
      </c>
      <c r="O23" s="176">
        <f>+Z23</f>
        <v>7371</v>
      </c>
      <c r="P23" s="175">
        <f t="shared" si="2"/>
        <v>0</v>
      </c>
      <c r="Q23" s="176">
        <f t="shared" si="2"/>
        <v>11422</v>
      </c>
      <c r="R23" s="176">
        <f t="shared" si="2"/>
        <v>5711</v>
      </c>
      <c r="S23" s="176">
        <f t="shared" si="2"/>
        <v>5711</v>
      </c>
      <c r="T23" s="176">
        <f t="shared" si="2"/>
        <v>5711</v>
      </c>
      <c r="U23" s="176">
        <v>5711</v>
      </c>
      <c r="V23" s="176">
        <f t="shared" si="2"/>
        <v>5353</v>
      </c>
      <c r="W23" s="176">
        <f t="shared" si="2"/>
        <v>5711</v>
      </c>
      <c r="X23" s="176">
        <f t="shared" si="2"/>
        <v>6433</v>
      </c>
      <c r="Y23" s="176">
        <v>5711</v>
      </c>
      <c r="Z23" s="176">
        <v>7371</v>
      </c>
      <c r="AA23" s="177">
        <f t="shared" si="2"/>
        <v>0</v>
      </c>
      <c r="AB23" s="175"/>
      <c r="AC23" s="176"/>
      <c r="AD23" s="176"/>
      <c r="AE23" s="176"/>
      <c r="AF23" s="176"/>
      <c r="AG23" s="176"/>
      <c r="AH23" s="175"/>
      <c r="AI23" s="176"/>
      <c r="AJ23" s="176"/>
      <c r="AK23" s="176"/>
      <c r="AL23" s="176"/>
      <c r="AM23" s="176"/>
      <c r="AN23" s="9"/>
      <c r="AO23" s="9"/>
      <c r="AP23" s="9"/>
      <c r="AQ23" s="9"/>
      <c r="AR23" s="9"/>
      <c r="AS23" s="10"/>
      <c r="AU23" s="124">
        <v>69600</v>
      </c>
      <c r="AV23" s="124">
        <v>38976000</v>
      </c>
      <c r="AW23" s="124">
        <v>73080</v>
      </c>
      <c r="AX23" s="124">
        <v>39560640</v>
      </c>
      <c r="AY23" s="124">
        <v>76734</v>
      </c>
      <c r="AZ23" s="124">
        <v>40154049.600000001</v>
      </c>
      <c r="BA23" s="124">
        <v>80571</v>
      </c>
      <c r="BB23" s="124">
        <v>40756360.340000004</v>
      </c>
    </row>
    <row r="24" spans="1:54" s="115" customFormat="1" ht="27" x14ac:dyDescent="0.25">
      <c r="A24" s="192"/>
      <c r="B24" s="99"/>
      <c r="C24" s="99"/>
      <c r="D24" s="99"/>
      <c r="E24" s="96"/>
      <c r="F24" s="99"/>
      <c r="G24" s="99">
        <v>2</v>
      </c>
      <c r="H24" s="179" t="s">
        <v>115</v>
      </c>
      <c r="I24" s="174" t="s">
        <v>99</v>
      </c>
      <c r="J24" s="170">
        <v>66286</v>
      </c>
      <c r="K24" s="171">
        <v>43749</v>
      </c>
      <c r="L24" s="171">
        <v>43749</v>
      </c>
      <c r="M24" s="171">
        <v>76011</v>
      </c>
      <c r="N24" s="171">
        <f>57456+O24</f>
        <v>64827</v>
      </c>
      <c r="O24" s="176">
        <f>+Z24</f>
        <v>7371</v>
      </c>
      <c r="P24" s="170">
        <v>0</v>
      </c>
      <c r="Q24" s="171">
        <v>11422</v>
      </c>
      <c r="R24" s="171">
        <v>5711</v>
      </c>
      <c r="S24" s="171">
        <v>5711</v>
      </c>
      <c r="T24" s="171">
        <v>5711</v>
      </c>
      <c r="U24" s="176">
        <v>5711</v>
      </c>
      <c r="V24" s="171">
        <v>5353</v>
      </c>
      <c r="W24" s="171">
        <v>5711</v>
      </c>
      <c r="X24" s="171">
        <v>6433</v>
      </c>
      <c r="Y24" s="171">
        <v>5711</v>
      </c>
      <c r="Z24" s="171">
        <v>7371</v>
      </c>
      <c r="AA24" s="172">
        <v>0</v>
      </c>
      <c r="AB24" s="175"/>
      <c r="AC24" s="176"/>
      <c r="AD24" s="176"/>
      <c r="AE24" s="176"/>
      <c r="AF24" s="176"/>
      <c r="AG24" s="176"/>
      <c r="AH24" s="175"/>
      <c r="AI24" s="176"/>
      <c r="AJ24" s="176"/>
      <c r="AK24" s="176"/>
      <c r="AL24" s="176"/>
      <c r="AM24" s="176"/>
      <c r="AN24" s="9"/>
      <c r="AO24" s="9"/>
      <c r="AP24" s="9"/>
      <c r="AQ24" s="9"/>
      <c r="AR24" s="9"/>
      <c r="AS24" s="10"/>
      <c r="AU24" s="123"/>
      <c r="AV24" s="123"/>
      <c r="AW24" s="123"/>
      <c r="AX24" s="123"/>
      <c r="AY24" s="123"/>
      <c r="AZ24" s="123"/>
      <c r="BA24" s="123"/>
      <c r="BB24" s="123"/>
    </row>
    <row r="25" spans="1:54" s="115" customFormat="1" ht="30" x14ac:dyDescent="0.25">
      <c r="A25" s="192"/>
      <c r="B25" s="96"/>
      <c r="C25" s="96"/>
      <c r="D25" s="96"/>
      <c r="E25" s="96">
        <v>4</v>
      </c>
      <c r="F25" s="96">
        <v>0</v>
      </c>
      <c r="G25" s="96"/>
      <c r="H25" s="178" t="s">
        <v>110</v>
      </c>
      <c r="I25" s="180"/>
      <c r="J25" s="175"/>
      <c r="K25" s="176"/>
      <c r="L25" s="176"/>
      <c r="M25" s="176"/>
      <c r="N25" s="176"/>
      <c r="O25" s="176"/>
      <c r="P25" s="175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7"/>
      <c r="AB25" s="175">
        <v>72001023</v>
      </c>
      <c r="AC25" s="176">
        <v>1404787</v>
      </c>
      <c r="AD25" s="176">
        <v>1404787</v>
      </c>
      <c r="AE25" s="176">
        <v>11476921</v>
      </c>
      <c r="AF25" s="176">
        <f>1723875.61+AG25</f>
        <v>1777480.8900000001</v>
      </c>
      <c r="AG25" s="176">
        <f>+AR25</f>
        <v>53605.279999999999</v>
      </c>
      <c r="AH25" s="175">
        <v>51364.97</v>
      </c>
      <c r="AI25" s="176">
        <v>43975.03</v>
      </c>
      <c r="AJ25" s="176">
        <v>56109.45</v>
      </c>
      <c r="AK25" s="176">
        <v>104883.22</v>
      </c>
      <c r="AL25" s="176">
        <v>186656.68</v>
      </c>
      <c r="AM25" s="176">
        <v>690915.95</v>
      </c>
      <c r="AN25" s="176">
        <v>1381545.04</v>
      </c>
      <c r="AO25" s="9">
        <v>213308.6</v>
      </c>
      <c r="AP25" s="9">
        <v>57383.47</v>
      </c>
      <c r="AQ25" s="9">
        <v>71638.5</v>
      </c>
      <c r="AR25" s="9">
        <v>53605.279999999999</v>
      </c>
      <c r="AS25" s="10">
        <v>0</v>
      </c>
      <c r="AU25" s="123"/>
      <c r="AV25" s="123"/>
      <c r="AW25" s="123"/>
      <c r="AX25" s="123"/>
      <c r="AY25" s="123"/>
      <c r="AZ25" s="123"/>
      <c r="BA25" s="123"/>
      <c r="BB25" s="123"/>
    </row>
    <row r="26" spans="1:54" s="115" customFormat="1" ht="30" x14ac:dyDescent="0.25">
      <c r="A26" s="192">
        <v>4</v>
      </c>
      <c r="B26" s="96"/>
      <c r="C26" s="96"/>
      <c r="D26" s="96"/>
      <c r="E26" s="96"/>
      <c r="F26" s="96"/>
      <c r="G26" s="96">
        <v>1</v>
      </c>
      <c r="H26" s="178" t="s">
        <v>111</v>
      </c>
      <c r="I26" s="180" t="s">
        <v>83</v>
      </c>
      <c r="J26" s="175">
        <f t="shared" ref="J26:AA26" si="3">+J27</f>
        <v>151250</v>
      </c>
      <c r="K26" s="176">
        <f t="shared" si="3"/>
        <v>104545</v>
      </c>
      <c r="L26" s="176">
        <f t="shared" si="3"/>
        <v>104545</v>
      </c>
      <c r="M26" s="176">
        <v>154934</v>
      </c>
      <c r="N26" s="176">
        <f>+N27</f>
        <v>119552</v>
      </c>
      <c r="O26" s="176">
        <f>+Z26</f>
        <v>22182</v>
      </c>
      <c r="P26" s="175">
        <f t="shared" si="3"/>
        <v>0</v>
      </c>
      <c r="Q26" s="176">
        <f t="shared" si="3"/>
        <v>14170</v>
      </c>
      <c r="R26" s="176">
        <f t="shared" si="3"/>
        <v>6351</v>
      </c>
      <c r="S26" s="176">
        <f t="shared" si="3"/>
        <v>6704</v>
      </c>
      <c r="T26" s="176">
        <f t="shared" si="3"/>
        <v>6884</v>
      </c>
      <c r="U26" s="176">
        <v>7713</v>
      </c>
      <c r="V26" s="176">
        <f t="shared" si="3"/>
        <v>3493</v>
      </c>
      <c r="W26" s="176">
        <f t="shared" si="3"/>
        <v>13931</v>
      </c>
      <c r="X26" s="176">
        <f t="shared" si="3"/>
        <v>6433</v>
      </c>
      <c r="Y26" s="176">
        <v>11071</v>
      </c>
      <c r="Z26" s="176">
        <v>22182</v>
      </c>
      <c r="AA26" s="177">
        <f t="shared" si="3"/>
        <v>0</v>
      </c>
      <c r="AB26" s="175"/>
      <c r="AC26" s="176"/>
      <c r="AD26" s="176"/>
      <c r="AE26" s="176"/>
      <c r="AF26" s="176"/>
      <c r="AG26" s="176"/>
      <c r="AH26" s="175"/>
      <c r="AI26" s="176"/>
      <c r="AJ26" s="176"/>
      <c r="AK26" s="176"/>
      <c r="AL26" s="176"/>
      <c r="AM26" s="176"/>
      <c r="AN26" s="9"/>
      <c r="AO26" s="9"/>
      <c r="AP26" s="9"/>
      <c r="AQ26" s="9"/>
      <c r="AR26" s="9"/>
      <c r="AS26" s="10"/>
      <c r="AU26" s="124">
        <v>158812.50000000003</v>
      </c>
      <c r="AV26" s="124">
        <v>73081038.344999999</v>
      </c>
      <c r="AW26" s="124">
        <v>166753.12499999997</v>
      </c>
      <c r="AX26" s="124">
        <v>74177253.920175001</v>
      </c>
      <c r="AY26" s="124">
        <v>175090.78125000003</v>
      </c>
      <c r="AZ26" s="124">
        <v>75289912.728977621</v>
      </c>
      <c r="BA26" s="124">
        <v>183845.3203125</v>
      </c>
      <c r="BB26" s="124">
        <v>76419261.419912279</v>
      </c>
    </row>
    <row r="27" spans="1:54" s="115" customFormat="1" ht="27" x14ac:dyDescent="0.25">
      <c r="A27" s="192"/>
      <c r="B27" s="99"/>
      <c r="C27" s="99"/>
      <c r="D27" s="99"/>
      <c r="E27" s="99"/>
      <c r="F27" s="99"/>
      <c r="G27" s="99">
        <v>2</v>
      </c>
      <c r="H27" s="179" t="s">
        <v>111</v>
      </c>
      <c r="I27" s="174" t="s">
        <v>83</v>
      </c>
      <c r="J27" s="170">
        <v>151250</v>
      </c>
      <c r="K27" s="171">
        <v>104545</v>
      </c>
      <c r="L27" s="171">
        <v>104545</v>
      </c>
      <c r="M27" s="171">
        <v>154934</v>
      </c>
      <c r="N27" s="171">
        <f>97370+O27</f>
        <v>119552</v>
      </c>
      <c r="O27" s="176">
        <f>+Z27</f>
        <v>22182</v>
      </c>
      <c r="P27" s="170">
        <v>0</v>
      </c>
      <c r="Q27" s="171">
        <v>14170</v>
      </c>
      <c r="R27" s="171">
        <v>6351</v>
      </c>
      <c r="S27" s="171">
        <v>6704</v>
      </c>
      <c r="T27" s="171">
        <v>6884</v>
      </c>
      <c r="U27" s="171">
        <v>7713</v>
      </c>
      <c r="V27" s="171">
        <v>3493</v>
      </c>
      <c r="W27" s="171">
        <v>13931</v>
      </c>
      <c r="X27" s="171">
        <v>6433</v>
      </c>
      <c r="Y27" s="171">
        <v>11071</v>
      </c>
      <c r="Z27" s="171">
        <v>22182</v>
      </c>
      <c r="AA27" s="172">
        <v>0</v>
      </c>
      <c r="AB27" s="170"/>
      <c r="AC27" s="171"/>
      <c r="AD27" s="171"/>
      <c r="AE27" s="171"/>
      <c r="AF27" s="176"/>
      <c r="AG27" s="176"/>
      <c r="AH27" s="175"/>
      <c r="AI27" s="176"/>
      <c r="AJ27" s="176"/>
      <c r="AK27" s="176"/>
      <c r="AL27" s="176"/>
      <c r="AM27" s="176"/>
      <c r="AN27" s="9"/>
      <c r="AO27" s="9"/>
      <c r="AP27" s="9"/>
      <c r="AQ27" s="9"/>
      <c r="AR27" s="9"/>
      <c r="AS27" s="10"/>
      <c r="AU27" s="123"/>
      <c r="AV27" s="123"/>
      <c r="AW27" s="123"/>
      <c r="AX27" s="123"/>
      <c r="AY27" s="123"/>
      <c r="AZ27" s="123"/>
      <c r="BA27" s="123"/>
      <c r="BB27" s="123"/>
    </row>
    <row r="28" spans="1:54" s="115" customFormat="1" x14ac:dyDescent="0.25">
      <c r="A28" s="192"/>
      <c r="B28" s="96">
        <v>99</v>
      </c>
      <c r="C28" s="96"/>
      <c r="D28" s="96"/>
      <c r="E28" s="96"/>
      <c r="F28" s="96"/>
      <c r="G28" s="96"/>
      <c r="H28" s="193" t="s">
        <v>112</v>
      </c>
      <c r="I28" s="194"/>
      <c r="J28" s="175"/>
      <c r="K28" s="176"/>
      <c r="L28" s="176"/>
      <c r="M28" s="176"/>
      <c r="N28" s="176"/>
      <c r="O28" s="176"/>
      <c r="P28" s="175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7"/>
      <c r="AB28" s="175"/>
      <c r="AC28" s="176"/>
      <c r="AD28" s="176"/>
      <c r="AE28" s="176"/>
      <c r="AF28" s="176"/>
      <c r="AG28" s="176"/>
      <c r="AH28" s="175"/>
      <c r="AI28" s="176"/>
      <c r="AJ28" s="176"/>
      <c r="AK28" s="176"/>
      <c r="AL28" s="176"/>
      <c r="AM28" s="176"/>
      <c r="AN28" s="9"/>
      <c r="AO28" s="9"/>
      <c r="AP28" s="9"/>
      <c r="AQ28" s="9"/>
      <c r="AR28" s="9"/>
      <c r="AS28" s="10"/>
      <c r="AU28" s="123"/>
      <c r="AV28" s="123"/>
      <c r="AW28" s="123"/>
      <c r="AX28" s="123"/>
      <c r="AY28" s="123"/>
      <c r="AZ28" s="123"/>
      <c r="BA28" s="123"/>
      <c r="BB28" s="123"/>
    </row>
    <row r="29" spans="1:54" s="115" customFormat="1" x14ac:dyDescent="0.25">
      <c r="A29" s="192"/>
      <c r="B29" s="96"/>
      <c r="C29" s="96">
        <v>0</v>
      </c>
      <c r="D29" s="96"/>
      <c r="E29" s="96"/>
      <c r="F29" s="96"/>
      <c r="G29" s="96"/>
      <c r="H29" s="193" t="s">
        <v>30</v>
      </c>
      <c r="I29" s="194"/>
      <c r="J29" s="175"/>
      <c r="K29" s="176"/>
      <c r="L29" s="176"/>
      <c r="M29" s="176"/>
      <c r="N29" s="176"/>
      <c r="O29" s="176"/>
      <c r="P29" s="175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7"/>
      <c r="AB29" s="175"/>
      <c r="AC29" s="176"/>
      <c r="AD29" s="176"/>
      <c r="AE29" s="176"/>
      <c r="AF29" s="176"/>
      <c r="AG29" s="176"/>
      <c r="AH29" s="175"/>
      <c r="AI29" s="176"/>
      <c r="AJ29" s="176"/>
      <c r="AK29" s="176"/>
      <c r="AL29" s="176"/>
      <c r="AM29" s="176"/>
      <c r="AN29" s="9"/>
      <c r="AO29" s="9"/>
      <c r="AP29" s="9"/>
      <c r="AQ29" s="9"/>
      <c r="AR29" s="9"/>
      <c r="AS29" s="10"/>
      <c r="AU29" s="123"/>
      <c r="AV29" s="123"/>
      <c r="AW29" s="123"/>
      <c r="AX29" s="123"/>
      <c r="AY29" s="123"/>
      <c r="AZ29" s="123"/>
      <c r="BA29" s="123"/>
      <c r="BB29" s="123"/>
    </row>
    <row r="30" spans="1:54" s="115" customFormat="1" x14ac:dyDescent="0.25">
      <c r="A30" s="192"/>
      <c r="B30" s="96"/>
      <c r="C30" s="96"/>
      <c r="D30" s="96">
        <v>0</v>
      </c>
      <c r="E30" s="96"/>
      <c r="F30" s="96"/>
      <c r="G30" s="96"/>
      <c r="H30" s="193" t="s">
        <v>31</v>
      </c>
      <c r="I30" s="194"/>
      <c r="J30" s="175"/>
      <c r="K30" s="176"/>
      <c r="L30" s="176"/>
      <c r="M30" s="176"/>
      <c r="N30" s="176"/>
      <c r="O30" s="176"/>
      <c r="P30" s="175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7"/>
      <c r="AB30" s="175"/>
      <c r="AC30" s="176"/>
      <c r="AD30" s="176"/>
      <c r="AE30" s="176"/>
      <c r="AF30" s="176"/>
      <c r="AG30" s="176"/>
      <c r="AH30" s="175"/>
      <c r="AI30" s="176"/>
      <c r="AJ30" s="176"/>
      <c r="AK30" s="176"/>
      <c r="AL30" s="176"/>
      <c r="AM30" s="176"/>
      <c r="AN30" s="9"/>
      <c r="AO30" s="9"/>
      <c r="AP30" s="9"/>
      <c r="AQ30" s="9"/>
      <c r="AR30" s="9"/>
      <c r="AS30" s="10"/>
      <c r="AU30" s="123"/>
      <c r="AV30" s="123"/>
      <c r="AW30" s="123"/>
      <c r="AX30" s="123"/>
      <c r="AY30" s="123"/>
      <c r="AZ30" s="123"/>
      <c r="BA30" s="123"/>
      <c r="BB30" s="123"/>
    </row>
    <row r="31" spans="1:54" s="115" customFormat="1" ht="30" x14ac:dyDescent="0.25">
      <c r="A31" s="4"/>
      <c r="B31" s="5"/>
      <c r="C31" s="5"/>
      <c r="D31" s="5"/>
      <c r="E31" s="5">
        <v>2</v>
      </c>
      <c r="F31" s="5">
        <v>0</v>
      </c>
      <c r="G31" s="5"/>
      <c r="H31" s="54" t="s">
        <v>113</v>
      </c>
      <c r="I31" s="48"/>
      <c r="J31" s="8"/>
      <c r="K31" s="9"/>
      <c r="L31" s="9"/>
      <c r="M31" s="9"/>
      <c r="N31" s="9"/>
      <c r="O31" s="9"/>
      <c r="P31" s="8"/>
      <c r="Q31" s="9"/>
      <c r="R31" s="9"/>
      <c r="S31" s="9"/>
      <c r="T31" s="9"/>
      <c r="U31" s="9"/>
      <c r="V31" s="9"/>
      <c r="W31" s="9"/>
      <c r="X31" s="9"/>
      <c r="Y31" s="9"/>
      <c r="Z31" s="9"/>
      <c r="AA31" s="10"/>
      <c r="AB31" s="119">
        <v>0</v>
      </c>
      <c r="AC31" s="116">
        <v>450000</v>
      </c>
      <c r="AD31" s="116">
        <v>450000</v>
      </c>
      <c r="AE31" s="116">
        <v>450000</v>
      </c>
      <c r="AF31" s="9">
        <f>398701.5+AG31</f>
        <v>398701.5</v>
      </c>
      <c r="AG31" s="9">
        <f>+AR31</f>
        <v>0</v>
      </c>
      <c r="AH31" s="8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398701.5</v>
      </c>
      <c r="AP31" s="9">
        <v>0</v>
      </c>
      <c r="AQ31" s="9">
        <v>0</v>
      </c>
      <c r="AR31" s="9">
        <v>0</v>
      </c>
      <c r="AS31" s="10">
        <v>0</v>
      </c>
      <c r="AU31" s="123"/>
      <c r="AV31" s="123"/>
      <c r="AW31" s="123"/>
      <c r="AX31" s="123"/>
      <c r="AY31" s="123"/>
      <c r="AZ31" s="123"/>
      <c r="BA31" s="123"/>
      <c r="BB31" s="123"/>
    </row>
    <row r="32" spans="1:54" s="115" customFormat="1" ht="30" x14ac:dyDescent="0.25">
      <c r="A32" s="4"/>
      <c r="B32" s="5"/>
      <c r="C32" s="5"/>
      <c r="D32" s="5"/>
      <c r="E32" s="5"/>
      <c r="F32" s="5"/>
      <c r="G32" s="5"/>
      <c r="H32" s="54" t="s">
        <v>114</v>
      </c>
      <c r="I32" s="48" t="s">
        <v>43</v>
      </c>
      <c r="J32" s="8">
        <f>J33</f>
        <v>0</v>
      </c>
      <c r="K32" s="9">
        <f>K33</f>
        <v>1</v>
      </c>
      <c r="L32" s="9">
        <f>L33</f>
        <v>1</v>
      </c>
      <c r="M32" s="9">
        <f>M33</f>
        <v>1</v>
      </c>
      <c r="N32" s="9">
        <f>N33</f>
        <v>1</v>
      </c>
      <c r="O32" s="176">
        <f>+Z32</f>
        <v>1</v>
      </c>
      <c r="P32" s="8">
        <f t="shared" ref="P32:AA32" si="4">+P33</f>
        <v>0</v>
      </c>
      <c r="Q32" s="9">
        <f t="shared" si="4"/>
        <v>0</v>
      </c>
      <c r="R32" s="9">
        <f t="shared" si="4"/>
        <v>0</v>
      </c>
      <c r="S32" s="9">
        <f t="shared" si="4"/>
        <v>0</v>
      </c>
      <c r="T32" s="9">
        <f t="shared" si="4"/>
        <v>0</v>
      </c>
      <c r="U32" s="9">
        <f t="shared" si="4"/>
        <v>0</v>
      </c>
      <c r="V32" s="9">
        <f t="shared" si="4"/>
        <v>0</v>
      </c>
      <c r="W32" s="9">
        <f t="shared" si="4"/>
        <v>0</v>
      </c>
      <c r="X32" s="9">
        <f t="shared" si="4"/>
        <v>0</v>
      </c>
      <c r="Y32" s="9">
        <f t="shared" si="4"/>
        <v>0</v>
      </c>
      <c r="Z32" s="9">
        <v>1</v>
      </c>
      <c r="AA32" s="10">
        <f t="shared" si="4"/>
        <v>0</v>
      </c>
      <c r="AB32" s="119"/>
      <c r="AC32" s="116"/>
      <c r="AD32" s="116"/>
      <c r="AE32" s="9"/>
      <c r="AF32" s="9"/>
      <c r="AG32" s="9"/>
      <c r="AH32" s="8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10"/>
      <c r="AU32" s="124"/>
      <c r="AV32" s="124"/>
      <c r="AW32" s="124"/>
      <c r="AX32" s="124"/>
      <c r="AY32" s="124"/>
      <c r="AZ32" s="124"/>
      <c r="BA32" s="124"/>
      <c r="BB32" s="124"/>
    </row>
    <row r="33" spans="1:54" s="115" customFormat="1" ht="27.75" thickBot="1" x14ac:dyDescent="0.3">
      <c r="A33" s="62"/>
      <c r="B33" s="63"/>
      <c r="C33" s="63"/>
      <c r="D33" s="63"/>
      <c r="E33" s="63"/>
      <c r="F33" s="63"/>
      <c r="G33" s="63"/>
      <c r="H33" s="64" t="s">
        <v>114</v>
      </c>
      <c r="I33" s="65" t="s">
        <v>43</v>
      </c>
      <c r="J33" s="44">
        <v>0</v>
      </c>
      <c r="K33" s="15">
        <v>1</v>
      </c>
      <c r="L33" s="15">
        <v>1</v>
      </c>
      <c r="M33" s="15">
        <v>1</v>
      </c>
      <c r="N33" s="15">
        <f>+SUM(P33:AA33)</f>
        <v>1</v>
      </c>
      <c r="O33" s="176">
        <f>+Z33</f>
        <v>1</v>
      </c>
      <c r="P33" s="44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1</v>
      </c>
      <c r="AA33" s="17">
        <v>0</v>
      </c>
      <c r="AB33" s="120"/>
      <c r="AC33" s="121"/>
      <c r="AD33" s="121"/>
      <c r="AE33" s="13"/>
      <c r="AF33" s="13"/>
      <c r="AG33" s="13"/>
      <c r="AH33" s="12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4"/>
      <c r="AU33" s="123"/>
      <c r="AV33" s="123"/>
      <c r="AW33" s="123"/>
      <c r="AX33" s="123"/>
      <c r="AY33" s="123"/>
      <c r="AZ33" s="123"/>
      <c r="BA33" s="123"/>
      <c r="BB33" s="123"/>
    </row>
    <row r="34" spans="1:54" s="115" customFormat="1" ht="13.5" x14ac:dyDescent="0.25"/>
    <row r="35" spans="1:54" s="115" customFormat="1" ht="13.5" x14ac:dyDescent="0.25"/>
    <row r="36" spans="1:54" s="115" customFormat="1" ht="13.5" x14ac:dyDescent="0.25">
      <c r="H36" s="115" t="s">
        <v>218</v>
      </c>
    </row>
    <row r="37" spans="1:54" s="115" customFormat="1" ht="13.5" x14ac:dyDescent="0.25">
      <c r="H37" s="115" t="s">
        <v>222</v>
      </c>
    </row>
    <row r="38" spans="1:54" s="115" customFormat="1" ht="13.5" x14ac:dyDescent="0.25"/>
    <row r="39" spans="1:54" s="115" customFormat="1" ht="13.5" x14ac:dyDescent="0.25"/>
    <row r="40" spans="1:54" s="115" customFormat="1" ht="13.5" x14ac:dyDescent="0.25"/>
    <row r="41" spans="1:54" s="115" customFormat="1" ht="13.5" x14ac:dyDescent="0.25"/>
    <row r="42" spans="1:54" s="115" customFormat="1" ht="13.5" x14ac:dyDescent="0.25"/>
    <row r="43" spans="1:54" s="115" customFormat="1" ht="13.5" x14ac:dyDescent="0.25"/>
    <row r="44" spans="1:54" s="115" customFormat="1" ht="13.5" x14ac:dyDescent="0.25"/>
    <row r="45" spans="1:54" s="115" customFormat="1" ht="13.5" x14ac:dyDescent="0.25"/>
    <row r="46" spans="1:54" s="115" customFormat="1" ht="13.5" x14ac:dyDescent="0.25"/>
    <row r="47" spans="1:54" s="115" customFormat="1" ht="13.5" x14ac:dyDescent="0.25"/>
    <row r="48" spans="1:54" s="115" customFormat="1" ht="13.5" x14ac:dyDescent="0.25"/>
    <row r="49" s="115" customFormat="1" ht="13.5" x14ac:dyDescent="0.25"/>
    <row r="50" s="115" customFormat="1" ht="13.5" x14ac:dyDescent="0.25"/>
    <row r="51" s="115" customFormat="1" ht="13.5" x14ac:dyDescent="0.25"/>
    <row r="52" s="115" customFormat="1" ht="13.5" x14ac:dyDescent="0.25"/>
    <row r="53" s="115" customFormat="1" ht="13.5" x14ac:dyDescent="0.25"/>
    <row r="54" s="115" customFormat="1" ht="13.5" x14ac:dyDescent="0.25"/>
    <row r="55" s="115" customFormat="1" ht="13.5" x14ac:dyDescent="0.25"/>
    <row r="56" s="115" customFormat="1" ht="13.5" x14ac:dyDescent="0.25"/>
    <row r="57" s="115" customFormat="1" ht="13.5" x14ac:dyDescent="0.25"/>
    <row r="58" s="115" customFormat="1" ht="13.5" x14ac:dyDescent="0.25"/>
    <row r="59" s="115" customFormat="1" ht="13.5" x14ac:dyDescent="0.25"/>
    <row r="60" s="115" customFormat="1" ht="13.5" x14ac:dyDescent="0.25"/>
    <row r="61" s="115" customFormat="1" ht="13.5" x14ac:dyDescent="0.25"/>
    <row r="62" s="115" customFormat="1" ht="13.5" x14ac:dyDescent="0.25"/>
    <row r="63" s="115" customFormat="1" ht="13.5" x14ac:dyDescent="0.25"/>
    <row r="64" s="115" customFormat="1" ht="13.5" x14ac:dyDescent="0.25"/>
    <row r="65" s="115" customFormat="1" ht="13.5" x14ac:dyDescent="0.25"/>
    <row r="66" s="115" customFormat="1" ht="13.5" x14ac:dyDescent="0.25"/>
    <row r="67" s="115" customFormat="1" ht="13.5" x14ac:dyDescent="0.25"/>
    <row r="68" s="115" customFormat="1" ht="13.5" x14ac:dyDescent="0.25"/>
    <row r="69" s="115" customFormat="1" ht="13.5" x14ac:dyDescent="0.25"/>
    <row r="70" s="115" customFormat="1" ht="13.5" x14ac:dyDescent="0.25"/>
    <row r="71" s="115" customFormat="1" ht="13.5" x14ac:dyDescent="0.25"/>
    <row r="72" s="115" customFormat="1" ht="13.5" x14ac:dyDescent="0.25"/>
    <row r="73" s="115" customFormat="1" ht="13.5" x14ac:dyDescent="0.25"/>
  </sheetData>
  <mergeCells count="7">
    <mergeCell ref="BA5:BB5"/>
    <mergeCell ref="A5:I5"/>
    <mergeCell ref="J5:O5"/>
    <mergeCell ref="AB5:AG5"/>
    <mergeCell ref="AU5:AV5"/>
    <mergeCell ref="AW5:AX5"/>
    <mergeCell ref="AY5:AZ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theme="4" tint="0.59999389629810485"/>
  </sheetPr>
  <dimension ref="A1:BB25"/>
  <sheetViews>
    <sheetView topLeftCell="A24" zoomScale="85" zoomScaleNormal="85" workbookViewId="0">
      <selection activeCell="L37" sqref="L37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3.7109375" customWidth="1"/>
    <col min="10" max="11" width="10.7109375" hidden="1" customWidth="1"/>
    <col min="12" max="13" width="10.7109375" customWidth="1"/>
    <col min="14" max="15" width="13.7109375" customWidth="1"/>
    <col min="16" max="27" width="13.7109375" hidden="1" customWidth="1"/>
    <col min="28" max="29" width="13.7109375" customWidth="1"/>
    <col min="30" max="30" width="14.85546875" customWidth="1"/>
    <col min="31" max="32" width="14.5703125" customWidth="1"/>
    <col min="33" max="33" width="14.42578125" customWidth="1"/>
    <col min="34" max="45" width="13.7109375" hidden="1" customWidth="1"/>
    <col min="47" max="47" width="11.7109375" customWidth="1"/>
    <col min="48" max="48" width="13.7109375" customWidth="1"/>
    <col min="49" max="49" width="11.7109375" customWidth="1"/>
    <col min="50" max="50" width="13.7109375" customWidth="1"/>
    <col min="51" max="51" width="11.7109375" customWidth="1"/>
    <col min="52" max="52" width="13.7109375" customWidth="1"/>
    <col min="53" max="53" width="11.7109375" customWidth="1"/>
    <col min="54" max="54" width="13.7109375" customWidth="1"/>
  </cols>
  <sheetData>
    <row r="1" spans="1:54" ht="15" customHeight="1" x14ac:dyDescent="0.25">
      <c r="A1" s="32" t="s">
        <v>49</v>
      </c>
    </row>
    <row r="2" spans="1:54" ht="15" customHeight="1" x14ac:dyDescent="0.25">
      <c r="A2" s="32" t="s">
        <v>50</v>
      </c>
    </row>
    <row r="3" spans="1:54" ht="15" customHeight="1" x14ac:dyDescent="0.25">
      <c r="A3" s="32" t="str">
        <f>+'217. FSS'!A3</f>
        <v xml:space="preserve">EJERCICIO FISCAL 2022 - ACTUALIZADA NOVIEMBRE </v>
      </c>
    </row>
    <row r="4" spans="1:54" ht="15" customHeight="1" thickBot="1" x14ac:dyDescent="0.3"/>
    <row r="5" spans="1:54" x14ac:dyDescent="0.25">
      <c r="A5" s="328" t="s">
        <v>116</v>
      </c>
      <c r="B5" s="329"/>
      <c r="C5" s="329"/>
      <c r="D5" s="329"/>
      <c r="E5" s="329"/>
      <c r="F5" s="329"/>
      <c r="G5" s="329"/>
      <c r="H5" s="329"/>
      <c r="I5" s="329"/>
      <c r="J5" s="330" t="s">
        <v>1</v>
      </c>
      <c r="K5" s="330"/>
      <c r="L5" s="330"/>
      <c r="M5" s="330"/>
      <c r="N5" s="330"/>
      <c r="O5" s="330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30" t="s">
        <v>117</v>
      </c>
      <c r="AC5" s="330"/>
      <c r="AD5" s="330"/>
      <c r="AE5" s="330"/>
      <c r="AF5" s="330"/>
      <c r="AG5" s="331"/>
      <c r="AH5" s="162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40"/>
      <c r="AU5" s="327" t="s">
        <v>51</v>
      </c>
      <c r="AV5" s="327"/>
      <c r="AW5" s="327" t="s">
        <v>52</v>
      </c>
      <c r="AX5" s="327"/>
      <c r="AY5" s="327" t="s">
        <v>53</v>
      </c>
      <c r="AZ5" s="327"/>
      <c r="BA5" s="327" t="s">
        <v>55</v>
      </c>
      <c r="BB5" s="327"/>
    </row>
    <row r="6" spans="1:54" s="7" customFormat="1" ht="36.75" thickBot="1" x14ac:dyDescent="0.25">
      <c r="A6" s="255" t="s">
        <v>3</v>
      </c>
      <c r="B6" s="246" t="s">
        <v>4</v>
      </c>
      <c r="C6" s="246" t="s">
        <v>5</v>
      </c>
      <c r="D6" s="246" t="s">
        <v>6</v>
      </c>
      <c r="E6" s="246" t="s">
        <v>7</v>
      </c>
      <c r="F6" s="246" t="s">
        <v>8</v>
      </c>
      <c r="G6" s="246" t="s">
        <v>9</v>
      </c>
      <c r="H6" s="247" t="s">
        <v>10</v>
      </c>
      <c r="I6" s="248" t="s">
        <v>11</v>
      </c>
      <c r="J6" s="249" t="s">
        <v>12</v>
      </c>
      <c r="K6" s="249" t="s">
        <v>65</v>
      </c>
      <c r="L6" s="249" t="s">
        <v>13</v>
      </c>
      <c r="M6" s="249" t="s">
        <v>14</v>
      </c>
      <c r="N6" s="250" t="s">
        <v>15</v>
      </c>
      <c r="O6" s="250" t="s">
        <v>16</v>
      </c>
      <c r="P6" s="250" t="s">
        <v>17</v>
      </c>
      <c r="Q6" s="250" t="s">
        <v>18</v>
      </c>
      <c r="R6" s="250" t="s">
        <v>19</v>
      </c>
      <c r="S6" s="250" t="s">
        <v>20</v>
      </c>
      <c r="T6" s="250" t="s">
        <v>21</v>
      </c>
      <c r="U6" s="250" t="s">
        <v>22</v>
      </c>
      <c r="V6" s="250" t="s">
        <v>23</v>
      </c>
      <c r="W6" s="250" t="s">
        <v>24</v>
      </c>
      <c r="X6" s="250" t="s">
        <v>25</v>
      </c>
      <c r="Y6" s="250" t="s">
        <v>26</v>
      </c>
      <c r="Z6" s="250" t="s">
        <v>27</v>
      </c>
      <c r="AA6" s="250" t="s">
        <v>28</v>
      </c>
      <c r="AB6" s="249" t="s">
        <v>12</v>
      </c>
      <c r="AC6" s="249" t="s">
        <v>65</v>
      </c>
      <c r="AD6" s="249" t="s">
        <v>13</v>
      </c>
      <c r="AE6" s="249" t="s">
        <v>14</v>
      </c>
      <c r="AF6" s="250" t="s">
        <v>15</v>
      </c>
      <c r="AG6" s="256" t="s">
        <v>16</v>
      </c>
      <c r="AH6" s="30" t="s">
        <v>17</v>
      </c>
      <c r="AI6" s="28" t="s">
        <v>18</v>
      </c>
      <c r="AJ6" s="28" t="s">
        <v>19</v>
      </c>
      <c r="AK6" s="28" t="s">
        <v>20</v>
      </c>
      <c r="AL6" s="28" t="s">
        <v>21</v>
      </c>
      <c r="AM6" s="28" t="s">
        <v>22</v>
      </c>
      <c r="AN6" s="28" t="s">
        <v>23</v>
      </c>
      <c r="AO6" s="28" t="s">
        <v>24</v>
      </c>
      <c r="AP6" s="28" t="s">
        <v>25</v>
      </c>
      <c r="AQ6" s="28" t="s">
        <v>26</v>
      </c>
      <c r="AR6" s="28" t="s">
        <v>27</v>
      </c>
      <c r="AS6" s="29" t="s">
        <v>28</v>
      </c>
      <c r="AU6" s="70" t="s">
        <v>54</v>
      </c>
      <c r="AV6" s="70" t="s">
        <v>2</v>
      </c>
      <c r="AW6" s="70" t="s">
        <v>54</v>
      </c>
      <c r="AX6" s="70" t="s">
        <v>2</v>
      </c>
      <c r="AY6" s="70" t="s">
        <v>54</v>
      </c>
      <c r="AZ6" s="70" t="s">
        <v>2</v>
      </c>
      <c r="BA6" s="70" t="s">
        <v>54</v>
      </c>
      <c r="BB6" s="70" t="s">
        <v>2</v>
      </c>
    </row>
    <row r="7" spans="1:54" x14ac:dyDescent="0.25">
      <c r="A7" s="4"/>
      <c r="B7" s="5">
        <v>14</v>
      </c>
      <c r="C7" s="5"/>
      <c r="D7" s="5"/>
      <c r="E7" s="5"/>
      <c r="F7" s="5"/>
      <c r="G7" s="5"/>
      <c r="H7" s="178" t="s">
        <v>118</v>
      </c>
      <c r="I7" s="26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7"/>
      <c r="AH7" s="285"/>
      <c r="AI7" s="191"/>
      <c r="AJ7" s="191"/>
      <c r="AK7" s="191"/>
      <c r="AL7" s="191"/>
      <c r="AM7" s="191"/>
      <c r="AN7" s="20"/>
      <c r="AO7" s="20"/>
      <c r="AP7" s="20"/>
      <c r="AQ7" s="20"/>
      <c r="AR7" s="20"/>
      <c r="AS7" s="21"/>
      <c r="AU7" s="58"/>
      <c r="AV7" s="58"/>
      <c r="AW7" s="58"/>
      <c r="AX7" s="58"/>
      <c r="AY7" s="58"/>
      <c r="AZ7" s="58"/>
      <c r="BA7" s="58"/>
      <c r="BB7" s="58"/>
    </row>
    <row r="8" spans="1:54" x14ac:dyDescent="0.25">
      <c r="A8" s="4"/>
      <c r="B8" s="5"/>
      <c r="C8" s="5">
        <v>0</v>
      </c>
      <c r="D8" s="5"/>
      <c r="E8" s="5"/>
      <c r="F8" s="5"/>
      <c r="G8" s="5"/>
      <c r="H8" s="178" t="s">
        <v>30</v>
      </c>
      <c r="I8" s="266"/>
      <c r="J8" s="195"/>
      <c r="K8" s="195"/>
      <c r="L8" s="195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7"/>
      <c r="AH8" s="286"/>
      <c r="AI8" s="176"/>
      <c r="AJ8" s="176"/>
      <c r="AK8" s="176"/>
      <c r="AL8" s="176"/>
      <c r="AM8" s="176"/>
      <c r="AN8" s="9"/>
      <c r="AO8" s="9"/>
      <c r="AP8" s="9"/>
      <c r="AQ8" s="9"/>
      <c r="AR8" s="9"/>
      <c r="AS8" s="10"/>
      <c r="AU8" s="58"/>
      <c r="AV8" s="58"/>
      <c r="AW8" s="58"/>
      <c r="AX8" s="58"/>
      <c r="AY8" s="58"/>
      <c r="AZ8" s="58"/>
      <c r="BA8" s="58"/>
      <c r="BB8" s="58"/>
    </row>
    <row r="9" spans="1:54" x14ac:dyDescent="0.25">
      <c r="A9" s="4"/>
      <c r="B9" s="5"/>
      <c r="C9" s="5"/>
      <c r="D9" s="5">
        <v>0</v>
      </c>
      <c r="E9" s="5"/>
      <c r="F9" s="5"/>
      <c r="G9" s="5"/>
      <c r="H9" s="178" t="s">
        <v>31</v>
      </c>
      <c r="I9" s="26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7"/>
      <c r="AH9" s="286"/>
      <c r="AI9" s="176"/>
      <c r="AJ9" s="176"/>
      <c r="AK9" s="176"/>
      <c r="AL9" s="176"/>
      <c r="AM9" s="176"/>
      <c r="AN9" s="9"/>
      <c r="AO9" s="9"/>
      <c r="AP9" s="9"/>
      <c r="AQ9" s="9"/>
      <c r="AR9" s="9"/>
      <c r="AS9" s="10"/>
      <c r="AU9" s="58"/>
      <c r="AV9" s="58"/>
      <c r="AW9" s="58"/>
      <c r="AX9" s="58"/>
      <c r="AY9" s="58"/>
      <c r="AZ9" s="58"/>
      <c r="BA9" s="58"/>
      <c r="BB9" s="58"/>
    </row>
    <row r="10" spans="1:54" x14ac:dyDescent="0.25">
      <c r="A10" s="4"/>
      <c r="B10" s="5"/>
      <c r="C10" s="5"/>
      <c r="D10" s="5"/>
      <c r="E10" s="5">
        <v>1</v>
      </c>
      <c r="F10" s="5">
        <v>0</v>
      </c>
      <c r="G10" s="5"/>
      <c r="H10" s="178" t="s">
        <v>59</v>
      </c>
      <c r="I10" s="26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>
        <v>455601768.02666664</v>
      </c>
      <c r="AC10" s="176">
        <v>142000000</v>
      </c>
      <c r="AD10" s="176">
        <v>142000000</v>
      </c>
      <c r="AE10" s="176">
        <v>164512834</v>
      </c>
      <c r="AF10" s="176">
        <f>129247155.92+AG10</f>
        <v>148527689.25999999</v>
      </c>
      <c r="AG10" s="177">
        <f>+AR10</f>
        <v>19280533.34</v>
      </c>
      <c r="AH10" s="287">
        <v>39974307.350000001</v>
      </c>
      <c r="AI10" s="171">
        <v>19487522.079999998</v>
      </c>
      <c r="AJ10" s="171">
        <v>18590638.25</v>
      </c>
      <c r="AK10" s="171">
        <v>22296146.07</v>
      </c>
      <c r="AL10" s="171">
        <v>4423648.5599999996</v>
      </c>
      <c r="AM10" s="171">
        <f>557640.66+896325+875</f>
        <v>1454840.6600000001</v>
      </c>
      <c r="AN10" s="11">
        <v>2244528.86</v>
      </c>
      <c r="AO10" s="11">
        <v>686243.43</v>
      </c>
      <c r="AP10" s="11">
        <v>3327297.21</v>
      </c>
      <c r="AQ10" s="11">
        <v>12930422.76</v>
      </c>
      <c r="AR10" s="11">
        <v>19280533.34</v>
      </c>
      <c r="AS10" s="16">
        <v>0</v>
      </c>
      <c r="AU10" s="58"/>
      <c r="AV10" s="58"/>
      <c r="AW10" s="58"/>
      <c r="AX10" s="58"/>
      <c r="AY10" s="58"/>
      <c r="AZ10" s="58"/>
      <c r="BA10" s="58"/>
      <c r="BB10" s="58"/>
    </row>
    <row r="11" spans="1:54" x14ac:dyDescent="0.25">
      <c r="A11" s="4">
        <v>4</v>
      </c>
      <c r="B11" s="5"/>
      <c r="C11" s="5"/>
      <c r="D11" s="5"/>
      <c r="E11" s="5"/>
      <c r="F11" s="5"/>
      <c r="G11" s="5">
        <v>1</v>
      </c>
      <c r="H11" s="196" t="s">
        <v>60</v>
      </c>
      <c r="I11" s="266" t="s">
        <v>34</v>
      </c>
      <c r="J11" s="176">
        <f t="shared" ref="J11:AA11" si="0">J12+J14</f>
        <v>338</v>
      </c>
      <c r="K11" s="176">
        <f t="shared" si="0"/>
        <v>177</v>
      </c>
      <c r="L11" s="176">
        <f t="shared" si="0"/>
        <v>177</v>
      </c>
      <c r="M11" s="176">
        <v>337</v>
      </c>
      <c r="N11" s="176">
        <f>238+O11</f>
        <v>285</v>
      </c>
      <c r="O11" s="176">
        <f>+Z11</f>
        <v>47</v>
      </c>
      <c r="P11" s="176">
        <f t="shared" si="0"/>
        <v>0</v>
      </c>
      <c r="Q11" s="176">
        <f t="shared" si="0"/>
        <v>18</v>
      </c>
      <c r="R11" s="176">
        <f t="shared" si="0"/>
        <v>11</v>
      </c>
      <c r="S11" s="176">
        <f t="shared" si="0"/>
        <v>19</v>
      </c>
      <c r="T11" s="176">
        <f t="shared" si="0"/>
        <v>27</v>
      </c>
      <c r="U11" s="176">
        <f>U12+U14</f>
        <v>39</v>
      </c>
      <c r="V11" s="176">
        <v>0</v>
      </c>
      <c r="W11" s="176">
        <f t="shared" si="0"/>
        <v>25</v>
      </c>
      <c r="X11" s="176">
        <f t="shared" si="0"/>
        <v>57</v>
      </c>
      <c r="Y11" s="176">
        <v>27</v>
      </c>
      <c r="Z11" s="176">
        <v>47</v>
      </c>
      <c r="AA11" s="176">
        <f t="shared" si="0"/>
        <v>0</v>
      </c>
      <c r="AB11" s="176"/>
      <c r="AC11" s="176"/>
      <c r="AD11" s="176"/>
      <c r="AE11" s="176"/>
      <c r="AF11" s="176"/>
      <c r="AG11" s="177"/>
      <c r="AH11" s="286"/>
      <c r="AI11" s="176"/>
      <c r="AJ11" s="176"/>
      <c r="AK11" s="176"/>
      <c r="AL11" s="176"/>
      <c r="AM11" s="176"/>
      <c r="AN11" s="9"/>
      <c r="AO11" s="9"/>
      <c r="AP11" s="9"/>
      <c r="AQ11" s="9"/>
      <c r="AR11" s="9"/>
      <c r="AS11" s="10"/>
      <c r="AU11" s="126">
        <v>420.565</v>
      </c>
      <c r="AV11" s="126">
        <v>413333878.99162495</v>
      </c>
      <c r="AW11" s="126">
        <v>470.87824999999998</v>
      </c>
      <c r="AX11" s="126">
        <v>431491747.94120622</v>
      </c>
      <c r="AY11" s="126">
        <v>460.09391249999999</v>
      </c>
      <c r="AZ11" s="126">
        <v>427994452.93826652</v>
      </c>
      <c r="BA11" s="126">
        <v>455.09391249999999</v>
      </c>
      <c r="BB11" s="126">
        <v>454217472.93826652</v>
      </c>
    </row>
    <row r="12" spans="1:54" x14ac:dyDescent="0.25">
      <c r="A12" s="4"/>
      <c r="B12" s="5"/>
      <c r="C12" s="5"/>
      <c r="D12" s="5"/>
      <c r="E12" s="5"/>
      <c r="F12" s="5"/>
      <c r="G12" s="6">
        <v>2</v>
      </c>
      <c r="H12" s="197" t="s">
        <v>60</v>
      </c>
      <c r="I12" s="267" t="s">
        <v>34</v>
      </c>
      <c r="J12" s="171">
        <v>88</v>
      </c>
      <c r="K12" s="171">
        <v>67</v>
      </c>
      <c r="L12" s="171">
        <v>67</v>
      </c>
      <c r="M12" s="171">
        <v>217</v>
      </c>
      <c r="N12" s="171">
        <f>140+O12</f>
        <v>180</v>
      </c>
      <c r="O12" s="176">
        <f>+Z12</f>
        <v>40</v>
      </c>
      <c r="P12" s="171">
        <v>0</v>
      </c>
      <c r="Q12" s="171">
        <v>0</v>
      </c>
      <c r="R12" s="171">
        <v>0</v>
      </c>
      <c r="S12" s="171">
        <v>5</v>
      </c>
      <c r="T12" s="171">
        <v>20</v>
      </c>
      <c r="U12" s="171">
        <v>30</v>
      </c>
      <c r="V12" s="171">
        <v>0</v>
      </c>
      <c r="W12" s="171">
        <v>25</v>
      </c>
      <c r="X12" s="171">
        <v>40</v>
      </c>
      <c r="Y12" s="171">
        <v>20</v>
      </c>
      <c r="Z12" s="171">
        <v>40</v>
      </c>
      <c r="AA12" s="171">
        <v>0</v>
      </c>
      <c r="AB12" s="176"/>
      <c r="AC12" s="176"/>
      <c r="AD12" s="176"/>
      <c r="AE12" s="176"/>
      <c r="AF12" s="176"/>
      <c r="AG12" s="177"/>
      <c r="AH12" s="286"/>
      <c r="AI12" s="176"/>
      <c r="AJ12" s="176"/>
      <c r="AK12" s="176"/>
      <c r="AL12" s="176"/>
      <c r="AM12" s="176"/>
      <c r="AN12" s="9"/>
      <c r="AO12" s="9"/>
      <c r="AP12" s="9"/>
      <c r="AQ12" s="9"/>
      <c r="AR12" s="9"/>
      <c r="AS12" s="10"/>
      <c r="AU12" s="58"/>
      <c r="AV12" s="58"/>
      <c r="AW12" s="58"/>
      <c r="AX12" s="58"/>
      <c r="AY12" s="58"/>
      <c r="AZ12" s="58"/>
      <c r="BA12" s="58"/>
      <c r="BB12" s="58"/>
    </row>
    <row r="13" spans="1:54" x14ac:dyDescent="0.25">
      <c r="A13" s="4"/>
      <c r="B13" s="5"/>
      <c r="C13" s="5"/>
      <c r="D13" s="5"/>
      <c r="E13" s="5"/>
      <c r="F13" s="5"/>
      <c r="G13" s="6">
        <v>3</v>
      </c>
      <c r="H13" s="197" t="s">
        <v>119</v>
      </c>
      <c r="I13" s="267" t="s">
        <v>101</v>
      </c>
      <c r="J13" s="171">
        <v>35444</v>
      </c>
      <c r="K13" s="171">
        <v>10406</v>
      </c>
      <c r="L13" s="171">
        <v>10406</v>
      </c>
      <c r="M13" s="171">
        <v>17484</v>
      </c>
      <c r="N13" s="171">
        <f>+O13</f>
        <v>2086</v>
      </c>
      <c r="O13" s="176">
        <f>+Z13</f>
        <v>2086</v>
      </c>
      <c r="P13" s="171">
        <v>0</v>
      </c>
      <c r="Q13" s="171">
        <v>0</v>
      </c>
      <c r="R13" s="171">
        <v>0</v>
      </c>
      <c r="S13" s="171">
        <v>0</v>
      </c>
      <c r="T13" s="171">
        <v>0</v>
      </c>
      <c r="U13" s="171">
        <v>0</v>
      </c>
      <c r="V13" s="171">
        <v>0</v>
      </c>
      <c r="W13" s="171">
        <v>0</v>
      </c>
      <c r="X13" s="171">
        <v>0</v>
      </c>
      <c r="Y13" s="171">
        <v>0</v>
      </c>
      <c r="Z13" s="171">
        <v>2086</v>
      </c>
      <c r="AA13" s="171">
        <v>0</v>
      </c>
      <c r="AB13" s="176"/>
      <c r="AC13" s="176"/>
      <c r="AD13" s="176"/>
      <c r="AE13" s="176"/>
      <c r="AF13" s="176"/>
      <c r="AG13" s="177"/>
      <c r="AH13" s="286"/>
      <c r="AI13" s="176"/>
      <c r="AJ13" s="176"/>
      <c r="AK13" s="176"/>
      <c r="AL13" s="176"/>
      <c r="AM13" s="176"/>
      <c r="AN13" s="9"/>
      <c r="AO13" s="9"/>
      <c r="AP13" s="9"/>
      <c r="AQ13" s="9"/>
      <c r="AR13" s="9"/>
      <c r="AS13" s="10"/>
      <c r="AU13" s="58"/>
      <c r="AV13" s="58"/>
      <c r="AW13" s="58"/>
      <c r="AX13" s="58"/>
      <c r="AY13" s="58"/>
      <c r="AZ13" s="58"/>
      <c r="BA13" s="58"/>
      <c r="BB13" s="58"/>
    </row>
    <row r="14" spans="1:54" x14ac:dyDescent="0.25">
      <c r="A14" s="4"/>
      <c r="B14" s="5"/>
      <c r="C14" s="5"/>
      <c r="D14" s="5"/>
      <c r="E14" s="5"/>
      <c r="F14" s="5"/>
      <c r="G14" s="6">
        <v>4</v>
      </c>
      <c r="H14" s="197" t="s">
        <v>120</v>
      </c>
      <c r="I14" s="267" t="s">
        <v>34</v>
      </c>
      <c r="J14" s="171">
        <v>250</v>
      </c>
      <c r="K14" s="171">
        <v>110</v>
      </c>
      <c r="L14" s="171">
        <v>110</v>
      </c>
      <c r="M14" s="171">
        <v>120</v>
      </c>
      <c r="N14" s="171">
        <v>105</v>
      </c>
      <c r="O14" s="176">
        <f>+Z14</f>
        <v>7</v>
      </c>
      <c r="P14" s="171">
        <v>0</v>
      </c>
      <c r="Q14" s="171">
        <v>18</v>
      </c>
      <c r="R14" s="171">
        <v>11</v>
      </c>
      <c r="S14" s="171">
        <v>14</v>
      </c>
      <c r="T14" s="171">
        <v>7</v>
      </c>
      <c r="U14" s="171">
        <v>9</v>
      </c>
      <c r="V14" s="171">
        <v>9</v>
      </c>
      <c r="W14" s="171">
        <v>0</v>
      </c>
      <c r="X14" s="171">
        <v>17</v>
      </c>
      <c r="Y14" s="171">
        <v>7</v>
      </c>
      <c r="Z14" s="171">
        <v>7</v>
      </c>
      <c r="AA14" s="171">
        <v>0</v>
      </c>
      <c r="AB14" s="176"/>
      <c r="AC14" s="176"/>
      <c r="AD14" s="176"/>
      <c r="AE14" s="176"/>
      <c r="AF14" s="176"/>
      <c r="AG14" s="177"/>
      <c r="AH14" s="286"/>
      <c r="AI14" s="176"/>
      <c r="AJ14" s="176"/>
      <c r="AK14" s="176"/>
      <c r="AL14" s="176"/>
      <c r="AM14" s="176"/>
      <c r="AN14" s="9"/>
      <c r="AO14" s="9"/>
      <c r="AP14" s="9"/>
      <c r="AQ14" s="9"/>
      <c r="AR14" s="9"/>
      <c r="AS14" s="10"/>
      <c r="AU14" s="58"/>
      <c r="AV14" s="58"/>
      <c r="AW14" s="58"/>
      <c r="AX14" s="58"/>
      <c r="AY14" s="58"/>
      <c r="AZ14" s="58"/>
      <c r="BA14" s="58"/>
      <c r="BB14" s="58"/>
    </row>
    <row r="15" spans="1:54" ht="15.75" thickBot="1" x14ac:dyDescent="0.3">
      <c r="A15" s="4"/>
      <c r="B15" s="5"/>
      <c r="C15" s="5"/>
      <c r="D15" s="5"/>
      <c r="E15" s="5"/>
      <c r="F15" s="5"/>
      <c r="G15" s="6">
        <v>5</v>
      </c>
      <c r="H15" s="197" t="s">
        <v>121</v>
      </c>
      <c r="I15" s="267" t="s">
        <v>122</v>
      </c>
      <c r="J15" s="171">
        <v>600</v>
      </c>
      <c r="K15" s="171">
        <v>1</v>
      </c>
      <c r="L15" s="171">
        <v>1</v>
      </c>
      <c r="M15" s="171">
        <v>9</v>
      </c>
      <c r="N15" s="171">
        <v>8</v>
      </c>
      <c r="O15" s="176">
        <f>+Z15</f>
        <v>0</v>
      </c>
      <c r="P15" s="171">
        <v>0</v>
      </c>
      <c r="Q15" s="171">
        <v>0</v>
      </c>
      <c r="R15" s="171">
        <v>0</v>
      </c>
      <c r="S15" s="171">
        <v>0</v>
      </c>
      <c r="T15" s="171">
        <v>8</v>
      </c>
      <c r="U15" s="171">
        <v>0</v>
      </c>
      <c r="V15" s="171">
        <v>0</v>
      </c>
      <c r="W15" s="171">
        <v>0</v>
      </c>
      <c r="X15" s="171">
        <v>0</v>
      </c>
      <c r="Y15" s="171">
        <v>0</v>
      </c>
      <c r="Z15" s="171">
        <v>0</v>
      </c>
      <c r="AA15" s="171">
        <v>0</v>
      </c>
      <c r="AB15" s="176"/>
      <c r="AC15" s="176"/>
      <c r="AD15" s="176"/>
      <c r="AE15" s="176"/>
      <c r="AF15" s="176"/>
      <c r="AG15" s="177"/>
      <c r="AH15" s="288"/>
      <c r="AI15" s="198"/>
      <c r="AJ15" s="198"/>
      <c r="AK15" s="198"/>
      <c r="AL15" s="198"/>
      <c r="AM15" s="198"/>
      <c r="AN15" s="13"/>
      <c r="AO15" s="13"/>
      <c r="AP15" s="13"/>
      <c r="AQ15" s="13"/>
      <c r="AR15" s="13"/>
      <c r="AS15" s="14"/>
    </row>
    <row r="16" spans="1:54" ht="30" x14ac:dyDescent="0.25">
      <c r="A16" s="4"/>
      <c r="B16" s="5">
        <v>94</v>
      </c>
      <c r="C16" s="5"/>
      <c r="D16" s="5"/>
      <c r="E16" s="5"/>
      <c r="F16" s="5"/>
      <c r="G16" s="5"/>
      <c r="H16" s="54" t="s">
        <v>231</v>
      </c>
      <c r="I16" s="254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10"/>
      <c r="AH16" s="163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1"/>
      <c r="AU16" s="58"/>
      <c r="AV16" s="58"/>
      <c r="AW16" s="58"/>
      <c r="AX16" s="58"/>
      <c r="AY16" s="58"/>
      <c r="AZ16" s="58"/>
      <c r="BA16" s="58"/>
      <c r="BB16" s="58"/>
    </row>
    <row r="17" spans="1:54" ht="45" x14ac:dyDescent="0.25">
      <c r="A17" s="4"/>
      <c r="B17" s="5"/>
      <c r="C17" s="5">
        <v>11</v>
      </c>
      <c r="D17" s="5"/>
      <c r="E17" s="5"/>
      <c r="F17" s="5"/>
      <c r="G17" s="5"/>
      <c r="H17" s="54" t="s">
        <v>232</v>
      </c>
      <c r="I17" s="254"/>
      <c r="J17" s="112">
        <v>0</v>
      </c>
      <c r="K17" s="112">
        <v>0</v>
      </c>
      <c r="L17" s="112">
        <v>0</v>
      </c>
      <c r="M17" s="9">
        <v>0</v>
      </c>
      <c r="N17" s="9">
        <v>0</v>
      </c>
      <c r="O17" s="176">
        <f>+Z17</f>
        <v>0</v>
      </c>
      <c r="P17" s="9"/>
      <c r="Q17" s="9"/>
      <c r="R17" s="9"/>
      <c r="S17" s="9"/>
      <c r="T17" s="9"/>
      <c r="U17" s="9"/>
      <c r="V17" s="9"/>
      <c r="W17" s="9">
        <v>0</v>
      </c>
      <c r="X17" s="9"/>
      <c r="Y17" s="9"/>
      <c r="Z17" s="9"/>
      <c r="AA17" s="9"/>
      <c r="AB17" s="9">
        <v>0</v>
      </c>
      <c r="AC17" s="9">
        <v>0</v>
      </c>
      <c r="AD17" s="9">
        <v>0</v>
      </c>
      <c r="AE17" s="9">
        <v>16600000</v>
      </c>
      <c r="AF17" s="9">
        <f>+SUM(AH17:AS17)</f>
        <v>11799851.4</v>
      </c>
      <c r="AG17" s="177">
        <f>+AR17</f>
        <v>11799851.4</v>
      </c>
      <c r="AH17" s="200">
        <v>0</v>
      </c>
      <c r="AI17" s="11">
        <v>0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9"/>
      <c r="AQ17" s="9">
        <v>0</v>
      </c>
      <c r="AR17" s="9">
        <v>11799851.4</v>
      </c>
      <c r="AS17" s="10"/>
      <c r="AU17" s="58"/>
      <c r="AV17" s="58"/>
      <c r="AW17" s="58"/>
      <c r="AX17" s="58"/>
      <c r="AY17" s="58"/>
      <c r="AZ17" s="58"/>
      <c r="BA17" s="58"/>
      <c r="BB17" s="58"/>
    </row>
    <row r="18" spans="1:54" x14ac:dyDescent="0.25">
      <c r="A18" s="4"/>
      <c r="B18" s="5"/>
      <c r="C18" s="5"/>
      <c r="D18" s="5">
        <v>1</v>
      </c>
      <c r="E18" s="5"/>
      <c r="F18" s="5"/>
      <c r="G18" s="5"/>
      <c r="H18" s="54" t="s">
        <v>31</v>
      </c>
      <c r="I18" s="254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10"/>
      <c r="AH18" s="164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10"/>
      <c r="AU18" s="58"/>
      <c r="AV18" s="58"/>
      <c r="AW18" s="58"/>
      <c r="AX18" s="58"/>
      <c r="AY18" s="58"/>
      <c r="AZ18" s="58"/>
      <c r="BA18" s="58"/>
      <c r="BB18" s="58"/>
    </row>
    <row r="19" spans="1:54" ht="45" x14ac:dyDescent="0.25">
      <c r="A19" s="4"/>
      <c r="B19" s="5"/>
      <c r="C19" s="5"/>
      <c r="D19" s="5"/>
      <c r="E19" s="5">
        <v>1</v>
      </c>
      <c r="F19" s="5">
        <v>0</v>
      </c>
      <c r="G19" s="5"/>
      <c r="H19" s="54" t="s">
        <v>233</v>
      </c>
      <c r="I19" s="254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10"/>
      <c r="AH19" s="200"/>
      <c r="AI19" s="11"/>
      <c r="AJ19" s="11"/>
      <c r="AK19" s="11"/>
      <c r="AL19" s="11"/>
      <c r="AM19" s="11"/>
      <c r="AN19" s="11"/>
      <c r="AO19" s="11"/>
      <c r="AP19" s="11">
        <v>0</v>
      </c>
      <c r="AQ19" s="11"/>
      <c r="AR19" s="11">
        <v>0</v>
      </c>
      <c r="AS19" s="16">
        <v>0</v>
      </c>
      <c r="AU19" s="58"/>
      <c r="AV19" s="58"/>
      <c r="AW19" s="58"/>
      <c r="AX19" s="58"/>
      <c r="AY19" s="58"/>
      <c r="AZ19" s="58"/>
      <c r="BA19" s="58"/>
      <c r="BB19" s="58"/>
    </row>
    <row r="20" spans="1:54" ht="40.5" x14ac:dyDescent="0.25">
      <c r="A20" s="4">
        <v>4</v>
      </c>
      <c r="B20" s="5"/>
      <c r="C20" s="5"/>
      <c r="D20" s="5"/>
      <c r="E20" s="5"/>
      <c r="F20" s="5"/>
      <c r="G20" s="6">
        <v>3</v>
      </c>
      <c r="H20" s="57" t="s">
        <v>249</v>
      </c>
      <c r="I20" s="211" t="s">
        <v>34</v>
      </c>
      <c r="J20" s="11">
        <v>35444</v>
      </c>
      <c r="K20" s="11">
        <v>10406</v>
      </c>
      <c r="L20" s="11">
        <v>0</v>
      </c>
      <c r="M20" s="11">
        <v>40</v>
      </c>
      <c r="N20" s="11">
        <f>+SUM(P20:AA20)</f>
        <v>7</v>
      </c>
      <c r="O20" s="176">
        <f>+Z20</f>
        <v>7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7</v>
      </c>
      <c r="AA20" s="11">
        <v>0</v>
      </c>
      <c r="AB20" s="9"/>
      <c r="AC20" s="9"/>
      <c r="AD20" s="9"/>
      <c r="AE20" s="9"/>
      <c r="AF20" s="9"/>
      <c r="AG20" s="10"/>
      <c r="AH20" s="164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10"/>
      <c r="AU20" s="58"/>
      <c r="AV20" s="58"/>
      <c r="AW20" s="58"/>
      <c r="AX20" s="58"/>
      <c r="AY20" s="58"/>
      <c r="AZ20" s="58"/>
      <c r="BA20" s="58"/>
      <c r="BB20" s="58"/>
    </row>
    <row r="21" spans="1:54" ht="30" x14ac:dyDescent="0.25">
      <c r="A21" s="283"/>
      <c r="B21" s="212"/>
      <c r="C21" s="212"/>
      <c r="D21" s="212"/>
      <c r="E21" s="212"/>
      <c r="F21" s="212"/>
      <c r="G21" s="212"/>
      <c r="H21" s="214" t="s">
        <v>255</v>
      </c>
      <c r="I21" s="212"/>
      <c r="J21" s="212"/>
      <c r="K21" s="212"/>
      <c r="L21" s="112">
        <v>0</v>
      </c>
      <c r="M21" s="9">
        <v>63</v>
      </c>
      <c r="N21" s="112">
        <f>+O21</f>
        <v>48</v>
      </c>
      <c r="O21" s="176">
        <f>+Z21</f>
        <v>48</v>
      </c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>
        <v>48</v>
      </c>
      <c r="AA21" s="212"/>
      <c r="AB21" s="212"/>
      <c r="AC21" s="212"/>
      <c r="AD21" s="9">
        <v>0</v>
      </c>
      <c r="AE21" s="231">
        <v>54868868.5</v>
      </c>
      <c r="AF21" s="231">
        <f>33705373.73+AG21</f>
        <v>41319213.799999997</v>
      </c>
      <c r="AG21" s="177">
        <f>+AR21</f>
        <v>7613840.0700000003</v>
      </c>
      <c r="AH21" s="289"/>
      <c r="AI21" s="232"/>
      <c r="AJ21" s="232"/>
      <c r="AK21" s="232"/>
      <c r="AL21" s="232"/>
      <c r="AM21" s="232"/>
      <c r="AN21" s="232"/>
      <c r="AO21" s="232"/>
      <c r="AP21" s="233"/>
      <c r="AQ21" s="232">
        <v>18608539.73</v>
      </c>
      <c r="AR21" s="202">
        <v>7613840.0700000003</v>
      </c>
      <c r="AU21" s="212"/>
      <c r="AV21" s="212"/>
      <c r="AW21" s="212"/>
      <c r="AX21" s="212"/>
      <c r="AY21" s="212"/>
      <c r="AZ21" s="212"/>
      <c r="BA21" s="212"/>
      <c r="BB21" s="212"/>
    </row>
    <row r="22" spans="1:54" ht="30" x14ac:dyDescent="0.25">
      <c r="A22" s="283"/>
      <c r="B22" s="212"/>
      <c r="C22" s="212"/>
      <c r="D22" s="212"/>
      <c r="E22" s="212"/>
      <c r="F22" s="212"/>
      <c r="G22" s="212"/>
      <c r="H22" s="215" t="s">
        <v>256</v>
      </c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  <c r="AA22" s="212"/>
      <c r="AB22" s="212"/>
      <c r="AC22" s="212"/>
      <c r="AD22" s="212"/>
      <c r="AE22" s="212"/>
      <c r="AF22" s="212"/>
      <c r="AG22" s="257"/>
      <c r="AH22" s="282"/>
      <c r="AI22" s="212"/>
      <c r="AJ22" s="212"/>
      <c r="AK22" s="212"/>
      <c r="AL22" s="212"/>
      <c r="AM22" s="212"/>
      <c r="AN22" s="212"/>
      <c r="AO22" s="212"/>
      <c r="AP22" s="229"/>
      <c r="AQ22" s="212"/>
      <c r="AU22" s="212"/>
      <c r="AV22" s="212"/>
      <c r="AW22" s="212"/>
      <c r="AX22" s="212"/>
      <c r="AY22" s="212"/>
      <c r="AZ22" s="212"/>
      <c r="BA22" s="212"/>
      <c r="BB22" s="212"/>
    </row>
    <row r="23" spans="1:54" ht="67.5" x14ac:dyDescent="0.25">
      <c r="A23" s="283"/>
      <c r="B23" s="212"/>
      <c r="C23" s="212"/>
      <c r="D23" s="212"/>
      <c r="E23" s="212"/>
      <c r="F23" s="212"/>
      <c r="G23" s="212">
        <v>1</v>
      </c>
      <c r="H23" s="57" t="s">
        <v>254</v>
      </c>
      <c r="I23" s="227" t="s">
        <v>261</v>
      </c>
      <c r="J23" s="212">
        <v>0</v>
      </c>
      <c r="K23" s="212">
        <v>0</v>
      </c>
      <c r="L23" s="11">
        <v>0</v>
      </c>
      <c r="M23" s="11">
        <v>63</v>
      </c>
      <c r="N23" s="11">
        <f>+O23</f>
        <v>48</v>
      </c>
      <c r="O23" s="176">
        <f>+Z23</f>
        <v>48</v>
      </c>
      <c r="P23" s="212"/>
      <c r="Q23" s="212"/>
      <c r="R23" s="212"/>
      <c r="S23" s="212"/>
      <c r="T23" s="212"/>
      <c r="U23" s="212"/>
      <c r="V23" s="212"/>
      <c r="W23" s="212">
        <v>0</v>
      </c>
      <c r="X23" s="212"/>
      <c r="Y23" s="11">
        <v>0</v>
      </c>
      <c r="Z23" s="212">
        <v>48</v>
      </c>
      <c r="AA23" s="212"/>
      <c r="AB23" s="212"/>
      <c r="AC23" s="212"/>
      <c r="AD23" s="212"/>
      <c r="AE23" s="212"/>
      <c r="AF23" s="212"/>
      <c r="AG23" s="177"/>
      <c r="AH23" s="287"/>
      <c r="AI23" s="171"/>
      <c r="AJ23" s="171"/>
      <c r="AK23" s="171"/>
      <c r="AL23" s="171"/>
      <c r="AM23" s="171"/>
      <c r="AN23" s="11"/>
      <c r="AO23" s="11"/>
      <c r="AP23" s="230">
        <v>15096834</v>
      </c>
      <c r="AQ23" s="212"/>
      <c r="AU23" s="212"/>
      <c r="AV23" s="212"/>
      <c r="AW23" s="212"/>
      <c r="AX23" s="212"/>
      <c r="AY23" s="212"/>
      <c r="AZ23" s="212"/>
      <c r="BA23" s="212"/>
      <c r="BB23" s="212"/>
    </row>
    <row r="24" spans="1:54" ht="135" x14ac:dyDescent="0.25">
      <c r="A24" s="61"/>
      <c r="B24" s="6"/>
      <c r="C24" s="6">
        <v>15</v>
      </c>
      <c r="D24" s="6"/>
      <c r="E24" s="6"/>
      <c r="F24" s="6"/>
      <c r="G24" s="6"/>
      <c r="H24" s="54" t="s">
        <v>262</v>
      </c>
      <c r="I24" s="211" t="s">
        <v>64</v>
      </c>
      <c r="J24" s="59"/>
      <c r="K24" s="59"/>
      <c r="L24" s="60">
        <v>0</v>
      </c>
      <c r="M24" s="60">
        <v>71</v>
      </c>
      <c r="N24" s="60">
        <v>0</v>
      </c>
      <c r="O24" s="176">
        <f>+Z24</f>
        <v>0</v>
      </c>
      <c r="P24" s="60"/>
      <c r="Q24" s="60"/>
      <c r="R24" s="60"/>
      <c r="S24" s="60"/>
      <c r="T24" s="60"/>
      <c r="U24" s="60"/>
      <c r="V24" s="60"/>
      <c r="W24" s="60"/>
      <c r="X24" s="60"/>
      <c r="Y24" s="60">
        <v>0</v>
      </c>
      <c r="Z24" s="59">
        <v>0</v>
      </c>
      <c r="AA24" s="59"/>
      <c r="AB24" s="59"/>
      <c r="AC24" s="59"/>
      <c r="AD24" s="59"/>
      <c r="AE24" s="59"/>
      <c r="AF24" s="59"/>
      <c r="AG24" s="67"/>
      <c r="AQ24" s="212"/>
      <c r="AU24" s="212"/>
      <c r="AV24" s="212"/>
      <c r="AW24" s="212"/>
      <c r="AX24" s="212"/>
      <c r="AY24" s="212"/>
      <c r="AZ24" s="212"/>
      <c r="BA24" s="212"/>
      <c r="BB24" s="212"/>
    </row>
    <row r="25" spans="1:54" ht="41.25" thickBot="1" x14ac:dyDescent="0.3">
      <c r="A25" s="62"/>
      <c r="B25" s="63"/>
      <c r="C25" s="63"/>
      <c r="D25" s="63"/>
      <c r="E25" s="63">
        <v>1</v>
      </c>
      <c r="F25" s="63"/>
      <c r="G25" s="63"/>
      <c r="H25" s="64" t="s">
        <v>263</v>
      </c>
      <c r="I25" s="258" t="s">
        <v>64</v>
      </c>
      <c r="J25" s="263">
        <v>0</v>
      </c>
      <c r="K25" s="263">
        <v>0</v>
      </c>
      <c r="L25" s="263">
        <v>0</v>
      </c>
      <c r="M25" s="263">
        <v>71</v>
      </c>
      <c r="N25" s="263">
        <v>0</v>
      </c>
      <c r="O25" s="198">
        <f>+Z25</f>
        <v>0</v>
      </c>
      <c r="P25" s="263"/>
      <c r="Q25" s="263"/>
      <c r="R25" s="263"/>
      <c r="S25" s="263"/>
      <c r="T25" s="263"/>
      <c r="U25" s="263"/>
      <c r="V25" s="263"/>
      <c r="W25" s="263">
        <v>0</v>
      </c>
      <c r="X25" s="263"/>
      <c r="Y25" s="263">
        <v>0</v>
      </c>
      <c r="Z25" s="263">
        <v>0</v>
      </c>
      <c r="AA25" s="263"/>
      <c r="AB25" s="263">
        <v>0</v>
      </c>
      <c r="AC25" s="263">
        <v>0</v>
      </c>
      <c r="AD25" s="263">
        <v>0</v>
      </c>
      <c r="AE25" s="263">
        <v>0</v>
      </c>
      <c r="AF25" s="263">
        <v>0</v>
      </c>
      <c r="AG25" s="353">
        <f>+AR25</f>
        <v>0</v>
      </c>
      <c r="AQ25" s="212"/>
      <c r="AU25" s="212"/>
      <c r="AV25" s="212"/>
      <c r="AW25" s="212"/>
      <c r="AX25" s="212"/>
      <c r="AY25" s="212"/>
      <c r="AZ25" s="212"/>
      <c r="BA25" s="212"/>
      <c r="BB25" s="212"/>
    </row>
  </sheetData>
  <mergeCells count="7">
    <mergeCell ref="BA5:BB5"/>
    <mergeCell ref="A5:I5"/>
    <mergeCell ref="J5:O5"/>
    <mergeCell ref="AB5:AG5"/>
    <mergeCell ref="AU5:AV5"/>
    <mergeCell ref="AW5:AX5"/>
    <mergeCell ref="AY5:AZ5"/>
  </mergeCells>
  <pageMargins left="0.70866141732283472" right="0.70866141732283472" top="0.74803149606299213" bottom="0.74803149606299213" header="0.31496062992125984" footer="0.31496062992125984"/>
  <pageSetup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theme="9" tint="-0.249977111117893"/>
  </sheetPr>
  <dimension ref="A1:BB26"/>
  <sheetViews>
    <sheetView zoomScale="85" zoomScaleNormal="85" workbookViewId="0">
      <pane xSplit="8" ySplit="6" topLeftCell="I10" activePane="bottomRight" state="frozen"/>
      <selection activeCell="J1" sqref="J1:K1048576"/>
      <selection pane="topRight" activeCell="J1" sqref="J1:K1048576"/>
      <selection pane="bottomLeft" activeCell="J1" sqref="J1:K1048576"/>
      <selection pane="bottomRight" activeCell="M1" sqref="M1:M1048576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hidden="1" customWidth="1"/>
    <col min="12" max="13" width="10.7109375" customWidth="1"/>
    <col min="14" max="15" width="13.7109375" customWidth="1"/>
    <col min="16" max="27" width="13.7109375" hidden="1" customWidth="1"/>
    <col min="28" max="33" width="13.7109375" customWidth="1"/>
    <col min="34" max="45" width="13.7109375" hidden="1" customWidth="1"/>
    <col min="47" max="47" width="10.7109375" customWidth="1"/>
    <col min="48" max="48" width="13.7109375" customWidth="1"/>
    <col min="49" max="49" width="10.7109375" customWidth="1"/>
    <col min="50" max="50" width="13.7109375" customWidth="1"/>
    <col min="51" max="51" width="10.7109375" customWidth="1"/>
    <col min="52" max="52" width="13.7109375" customWidth="1"/>
    <col min="53" max="53" width="10.7109375" customWidth="1"/>
    <col min="54" max="54" width="13.7109375" customWidth="1"/>
  </cols>
  <sheetData>
    <row r="1" spans="1:54" ht="15" customHeight="1" x14ac:dyDescent="0.25">
      <c r="A1" s="32" t="s">
        <v>49</v>
      </c>
    </row>
    <row r="2" spans="1:54" ht="15" customHeight="1" x14ac:dyDescent="0.25">
      <c r="A2" s="32" t="s">
        <v>50</v>
      </c>
    </row>
    <row r="3" spans="1:54" ht="15" customHeight="1" x14ac:dyDescent="0.25">
      <c r="A3" s="32" t="str">
        <f>+'201. DS'!A3</f>
        <v xml:space="preserve">EJERCICIO FISCAL 2022 - ACTUALIZADA NOVIEMBRE </v>
      </c>
    </row>
    <row r="4" spans="1:54" ht="15" customHeight="1" thickBot="1" x14ac:dyDescent="0.3"/>
    <row r="5" spans="1:54" x14ac:dyDescent="0.25">
      <c r="A5" s="328" t="s">
        <v>123</v>
      </c>
      <c r="B5" s="329"/>
      <c r="C5" s="329"/>
      <c r="D5" s="329"/>
      <c r="E5" s="329"/>
      <c r="F5" s="329"/>
      <c r="G5" s="329"/>
      <c r="H5" s="329"/>
      <c r="I5" s="332"/>
      <c r="J5" s="333" t="s">
        <v>1</v>
      </c>
      <c r="K5" s="330"/>
      <c r="L5" s="330"/>
      <c r="M5" s="330"/>
      <c r="N5" s="330"/>
      <c r="O5" s="331"/>
      <c r="P5" s="38"/>
      <c r="Q5" s="39"/>
      <c r="R5" s="39"/>
      <c r="S5" s="39"/>
      <c r="T5" s="39"/>
      <c r="U5" s="40"/>
      <c r="V5" s="162"/>
      <c r="W5" s="39"/>
      <c r="X5" s="39"/>
      <c r="Y5" s="39"/>
      <c r="Z5" s="39"/>
      <c r="AA5" s="40"/>
      <c r="AB5" s="333" t="s">
        <v>2</v>
      </c>
      <c r="AC5" s="330"/>
      <c r="AD5" s="330"/>
      <c r="AE5" s="330"/>
      <c r="AF5" s="330"/>
      <c r="AG5" s="331"/>
      <c r="AH5" s="38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40"/>
      <c r="AT5" s="51"/>
      <c r="AU5" s="327" t="s">
        <v>51</v>
      </c>
      <c r="AV5" s="327"/>
      <c r="AW5" s="327" t="s">
        <v>52</v>
      </c>
      <c r="AX5" s="327"/>
      <c r="AY5" s="327" t="s">
        <v>53</v>
      </c>
      <c r="AZ5" s="327"/>
      <c r="BA5" s="327" t="s">
        <v>55</v>
      </c>
      <c r="BB5" s="327"/>
    </row>
    <row r="6" spans="1:54" s="7" customFormat="1" ht="36.75" thickBot="1" x14ac:dyDescent="0.3">
      <c r="A6" s="24" t="s">
        <v>3</v>
      </c>
      <c r="B6" s="25" t="s">
        <v>4</v>
      </c>
      <c r="C6" s="25" t="s">
        <v>5</v>
      </c>
      <c r="D6" s="25" t="s">
        <v>6</v>
      </c>
      <c r="E6" s="25" t="s">
        <v>7</v>
      </c>
      <c r="F6" s="25" t="s">
        <v>8</v>
      </c>
      <c r="G6" s="25" t="s">
        <v>9</v>
      </c>
      <c r="H6" s="69" t="s">
        <v>10</v>
      </c>
      <c r="I6" s="26" t="s">
        <v>11</v>
      </c>
      <c r="J6" s="31" t="s">
        <v>12</v>
      </c>
      <c r="K6" s="27" t="s">
        <v>65</v>
      </c>
      <c r="L6" s="27" t="s">
        <v>13</v>
      </c>
      <c r="M6" s="27" t="s">
        <v>14</v>
      </c>
      <c r="N6" s="28" t="s">
        <v>15</v>
      </c>
      <c r="O6" s="29" t="s">
        <v>16</v>
      </c>
      <c r="P6" s="41" t="s">
        <v>17</v>
      </c>
      <c r="Q6" s="28" t="s">
        <v>18</v>
      </c>
      <c r="R6" s="28" t="s">
        <v>19</v>
      </c>
      <c r="S6" s="28" t="s">
        <v>20</v>
      </c>
      <c r="T6" s="28" t="s">
        <v>21</v>
      </c>
      <c r="U6" s="29" t="s">
        <v>22</v>
      </c>
      <c r="V6" s="30" t="s">
        <v>23</v>
      </c>
      <c r="W6" s="28" t="s">
        <v>24</v>
      </c>
      <c r="X6" s="28" t="s">
        <v>25</v>
      </c>
      <c r="Y6" s="28" t="s">
        <v>26</v>
      </c>
      <c r="Z6" s="28" t="s">
        <v>27</v>
      </c>
      <c r="AA6" s="29" t="s">
        <v>28</v>
      </c>
      <c r="AB6" s="31" t="s">
        <v>12</v>
      </c>
      <c r="AC6" s="27" t="s">
        <v>65</v>
      </c>
      <c r="AD6" s="27" t="s">
        <v>13</v>
      </c>
      <c r="AE6" s="27" t="s">
        <v>14</v>
      </c>
      <c r="AF6" s="28" t="s">
        <v>15</v>
      </c>
      <c r="AG6" s="29" t="s">
        <v>16</v>
      </c>
      <c r="AH6" s="41" t="s">
        <v>17</v>
      </c>
      <c r="AI6" s="28" t="s">
        <v>18</v>
      </c>
      <c r="AJ6" s="28" t="s">
        <v>19</v>
      </c>
      <c r="AK6" s="28" t="s">
        <v>20</v>
      </c>
      <c r="AL6" s="28" t="s">
        <v>21</v>
      </c>
      <c r="AM6" s="28" t="s">
        <v>22</v>
      </c>
      <c r="AN6" s="28" t="s">
        <v>23</v>
      </c>
      <c r="AO6" s="28" t="s">
        <v>24</v>
      </c>
      <c r="AP6" s="28" t="s">
        <v>25</v>
      </c>
      <c r="AQ6" s="28" t="s">
        <v>26</v>
      </c>
      <c r="AR6" s="28" t="s">
        <v>27</v>
      </c>
      <c r="AS6" s="29" t="s">
        <v>28</v>
      </c>
      <c r="AT6" s="95"/>
      <c r="AU6" s="70" t="s">
        <v>54</v>
      </c>
      <c r="AV6" s="70" t="s">
        <v>2</v>
      </c>
      <c r="AW6" s="70" t="s">
        <v>54</v>
      </c>
      <c r="AX6" s="70" t="s">
        <v>2</v>
      </c>
      <c r="AY6" s="70" t="s">
        <v>54</v>
      </c>
      <c r="AZ6" s="70" t="s">
        <v>2</v>
      </c>
      <c r="BA6" s="70" t="s">
        <v>54</v>
      </c>
      <c r="BB6" s="70" t="s">
        <v>2</v>
      </c>
    </row>
    <row r="7" spans="1:54" s="135" customFormat="1" ht="30" x14ac:dyDescent="0.25">
      <c r="A7" s="18"/>
      <c r="B7" s="19">
        <v>15</v>
      </c>
      <c r="C7" s="19"/>
      <c r="D7" s="19"/>
      <c r="E7" s="19"/>
      <c r="F7" s="19"/>
      <c r="G7" s="19"/>
      <c r="H7" s="68" t="s">
        <v>124</v>
      </c>
      <c r="I7" s="122"/>
      <c r="J7" s="42"/>
      <c r="K7" s="22"/>
      <c r="L7" s="22"/>
      <c r="M7" s="22"/>
      <c r="N7" s="22"/>
      <c r="O7" s="23"/>
      <c r="P7" s="42"/>
      <c r="Q7" s="22"/>
      <c r="R7" s="22"/>
      <c r="S7" s="22"/>
      <c r="T7" s="22"/>
      <c r="U7" s="23"/>
      <c r="V7" s="199"/>
      <c r="W7" s="22"/>
      <c r="X7" s="22"/>
      <c r="Y7" s="22"/>
      <c r="Z7" s="22"/>
      <c r="AA7" s="23"/>
      <c r="AB7" s="42"/>
      <c r="AC7" s="22"/>
      <c r="AD7" s="22"/>
      <c r="AE7" s="22"/>
      <c r="AF7" s="22"/>
      <c r="AG7" s="23"/>
      <c r="AH7" s="4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3"/>
      <c r="AT7" s="134"/>
      <c r="AU7" s="11"/>
      <c r="AV7" s="11"/>
      <c r="AW7" s="11"/>
      <c r="AX7" s="11"/>
      <c r="AY7" s="11"/>
      <c r="AZ7" s="11"/>
      <c r="BA7" s="11"/>
      <c r="BB7" s="11"/>
    </row>
    <row r="8" spans="1:54" s="135" customFormat="1" x14ac:dyDescent="0.25">
      <c r="A8" s="4"/>
      <c r="B8" s="5"/>
      <c r="C8" s="5">
        <v>0</v>
      </c>
      <c r="D8" s="5"/>
      <c r="E8" s="5"/>
      <c r="F8" s="5"/>
      <c r="G8" s="5"/>
      <c r="H8" s="54" t="s">
        <v>30</v>
      </c>
      <c r="I8" s="87"/>
      <c r="J8" s="43"/>
      <c r="K8" s="11"/>
      <c r="L8" s="11"/>
      <c r="M8" s="11"/>
      <c r="N8" s="11"/>
      <c r="O8" s="16"/>
      <c r="P8" s="43"/>
      <c r="Q8" s="11"/>
      <c r="R8" s="11"/>
      <c r="S8" s="11"/>
      <c r="T8" s="11"/>
      <c r="U8" s="16"/>
      <c r="V8" s="200"/>
      <c r="W8" s="11"/>
      <c r="X8" s="11"/>
      <c r="Y8" s="11"/>
      <c r="Z8" s="11"/>
      <c r="AA8" s="16"/>
      <c r="AB8" s="43"/>
      <c r="AC8" s="11"/>
      <c r="AD8" s="11"/>
      <c r="AE8" s="11"/>
      <c r="AF8" s="11"/>
      <c r="AG8" s="16"/>
      <c r="AH8" s="43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6"/>
      <c r="AT8" s="134"/>
      <c r="AU8" s="11"/>
      <c r="AV8" s="11"/>
      <c r="AW8" s="11"/>
      <c r="AX8" s="11"/>
      <c r="AY8" s="11"/>
      <c r="AZ8" s="11"/>
      <c r="BA8" s="11"/>
      <c r="BB8" s="11"/>
    </row>
    <row r="9" spans="1:54" s="135" customFormat="1" x14ac:dyDescent="0.25">
      <c r="A9" s="4"/>
      <c r="B9" s="5"/>
      <c r="C9" s="5"/>
      <c r="D9" s="5">
        <v>0</v>
      </c>
      <c r="E9" s="5"/>
      <c r="F9" s="5"/>
      <c r="G9" s="5"/>
      <c r="H9" s="54" t="s">
        <v>31</v>
      </c>
      <c r="I9" s="87"/>
      <c r="J9" s="43"/>
      <c r="K9" s="11"/>
      <c r="L9" s="11"/>
      <c r="M9" s="11"/>
      <c r="N9" s="11"/>
      <c r="O9" s="16"/>
      <c r="P9" s="43"/>
      <c r="Q9" s="11"/>
      <c r="R9" s="11"/>
      <c r="S9" s="11"/>
      <c r="T9" s="11"/>
      <c r="U9" s="16"/>
      <c r="V9" s="200"/>
      <c r="W9" s="11"/>
      <c r="X9" s="11"/>
      <c r="Y9" s="11"/>
      <c r="Z9" s="11"/>
      <c r="AA9" s="16"/>
      <c r="AB9" s="43"/>
      <c r="AC9" s="11"/>
      <c r="AD9" s="11"/>
      <c r="AE9" s="11"/>
      <c r="AF9" s="11"/>
      <c r="AG9" s="16"/>
      <c r="AH9" s="43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6"/>
      <c r="AT9" s="134"/>
      <c r="AU9" s="11"/>
      <c r="AV9" s="11"/>
      <c r="AW9" s="11"/>
      <c r="AX9" s="11"/>
      <c r="AY9" s="11"/>
      <c r="AZ9" s="11"/>
      <c r="BA9" s="11"/>
      <c r="BB9" s="11"/>
    </row>
    <row r="10" spans="1:54" s="135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4" t="s">
        <v>59</v>
      </c>
      <c r="I10" s="87"/>
      <c r="J10" s="43"/>
      <c r="K10" s="11"/>
      <c r="L10" s="11"/>
      <c r="M10" s="11"/>
      <c r="N10" s="11"/>
      <c r="O10" s="16"/>
      <c r="P10" s="43"/>
      <c r="Q10" s="11"/>
      <c r="R10" s="11"/>
      <c r="S10" s="11"/>
      <c r="T10" s="11"/>
      <c r="U10" s="16"/>
      <c r="V10" s="200"/>
      <c r="W10" s="11"/>
      <c r="X10" s="11"/>
      <c r="Y10" s="11"/>
      <c r="Z10" s="11"/>
      <c r="AA10" s="16"/>
      <c r="AB10" s="8">
        <v>13278539.433999998</v>
      </c>
      <c r="AC10" s="9">
        <v>6386608</v>
      </c>
      <c r="AD10" s="9">
        <v>6386608</v>
      </c>
      <c r="AE10" s="9">
        <v>7354202</v>
      </c>
      <c r="AF10" s="9">
        <f>5786730.19+AR10</f>
        <v>6093848.4000000004</v>
      </c>
      <c r="AG10" s="10">
        <f>+AR10</f>
        <v>307118.21000000002</v>
      </c>
      <c r="AH10" s="43">
        <v>560858.31999999995</v>
      </c>
      <c r="AI10" s="11">
        <v>456597.6</v>
      </c>
      <c r="AJ10" s="11">
        <v>606259.48</v>
      </c>
      <c r="AK10" s="11">
        <v>395979.17</v>
      </c>
      <c r="AL10" s="11">
        <v>401134.88</v>
      </c>
      <c r="AM10" s="11">
        <v>712856.35</v>
      </c>
      <c r="AN10" s="11">
        <v>1428480.28</v>
      </c>
      <c r="AO10" s="11">
        <v>204692.84</v>
      </c>
      <c r="AP10" s="11">
        <v>22453.200000000001</v>
      </c>
      <c r="AQ10" s="11">
        <v>597415.6</v>
      </c>
      <c r="AR10" s="11">
        <v>307118.21000000002</v>
      </c>
      <c r="AS10" s="16">
        <v>0</v>
      </c>
      <c r="AT10" s="134"/>
      <c r="AU10" s="11"/>
      <c r="AV10" s="11"/>
      <c r="AW10" s="11"/>
      <c r="AX10" s="11"/>
      <c r="AY10" s="11"/>
      <c r="AZ10" s="11"/>
      <c r="BA10" s="11"/>
      <c r="BB10" s="11"/>
    </row>
    <row r="11" spans="1:54" s="135" customFormat="1" x14ac:dyDescent="0.25">
      <c r="A11" s="4">
        <v>4</v>
      </c>
      <c r="B11" s="5"/>
      <c r="C11" s="5"/>
      <c r="D11" s="5"/>
      <c r="E11" s="5"/>
      <c r="F11" s="5"/>
      <c r="G11" s="5">
        <v>1</v>
      </c>
      <c r="H11" s="54" t="s">
        <v>60</v>
      </c>
      <c r="I11" s="47" t="s">
        <v>34</v>
      </c>
      <c r="J11" s="8">
        <f>J12</f>
        <v>175</v>
      </c>
      <c r="K11" s="9">
        <f>K12</f>
        <v>139</v>
      </c>
      <c r="L11" s="9">
        <f>L12</f>
        <v>139</v>
      </c>
      <c r="M11" s="9">
        <f>M12</f>
        <v>293</v>
      </c>
      <c r="N11" s="9">
        <f>N12</f>
        <v>293</v>
      </c>
      <c r="O11" s="9">
        <f>+O12</f>
        <v>76</v>
      </c>
      <c r="P11" s="8">
        <f t="shared" ref="P11:AA11" si="0">SUM(P12)</f>
        <v>0</v>
      </c>
      <c r="Q11" s="9">
        <f t="shared" si="0"/>
        <v>64</v>
      </c>
      <c r="R11" s="9">
        <f t="shared" si="0"/>
        <v>0</v>
      </c>
      <c r="S11" s="9">
        <f t="shared" si="0"/>
        <v>0</v>
      </c>
      <c r="T11" s="9">
        <f t="shared" si="0"/>
        <v>22</v>
      </c>
      <c r="U11" s="10">
        <v>0</v>
      </c>
      <c r="V11" s="164">
        <f t="shared" si="0"/>
        <v>0</v>
      </c>
      <c r="W11" s="9">
        <v>0</v>
      </c>
      <c r="X11" s="9">
        <f t="shared" si="0"/>
        <v>131</v>
      </c>
      <c r="Y11" s="9">
        <f t="shared" si="0"/>
        <v>0</v>
      </c>
      <c r="Z11" s="9">
        <v>76</v>
      </c>
      <c r="AA11" s="10">
        <f t="shared" si="0"/>
        <v>0</v>
      </c>
      <c r="AB11" s="8"/>
      <c r="AC11" s="9"/>
      <c r="AD11" s="9"/>
      <c r="AE11" s="9"/>
      <c r="AF11" s="9"/>
      <c r="AG11" s="10"/>
      <c r="AH11" s="8"/>
      <c r="AI11" s="9"/>
      <c r="AJ11" s="9"/>
      <c r="AK11" s="9"/>
      <c r="AL11" s="9"/>
      <c r="AM11" s="9"/>
      <c r="AN11" s="9"/>
      <c r="AO11" s="9"/>
      <c r="AP11" s="9"/>
      <c r="AQ11" s="9"/>
      <c r="AR11" s="9">
        <v>47390.55</v>
      </c>
      <c r="AS11" s="10"/>
      <c r="AT11" s="134"/>
      <c r="AU11" s="9">
        <v>178.5</v>
      </c>
      <c r="AV11" s="9">
        <v>14606393.3774</v>
      </c>
      <c r="AW11" s="9">
        <v>182.07</v>
      </c>
      <c r="AX11" s="9">
        <v>16067032.71514</v>
      </c>
      <c r="AY11" s="9">
        <v>185.7114</v>
      </c>
      <c r="AZ11" s="9">
        <v>17673735.986654002</v>
      </c>
      <c r="BA11" s="9">
        <v>189.42562799999999</v>
      </c>
      <c r="BB11" s="9">
        <v>19441109.585319404</v>
      </c>
    </row>
    <row r="12" spans="1:54" s="135" customFormat="1" x14ac:dyDescent="0.25">
      <c r="A12" s="4"/>
      <c r="B12" s="5"/>
      <c r="C12" s="5"/>
      <c r="D12" s="5"/>
      <c r="E12" s="5"/>
      <c r="F12" s="5"/>
      <c r="G12" s="6">
        <v>2</v>
      </c>
      <c r="H12" s="114" t="s">
        <v>60</v>
      </c>
      <c r="I12" s="87" t="s">
        <v>34</v>
      </c>
      <c r="J12" s="43">
        <v>175</v>
      </c>
      <c r="K12" s="11">
        <v>139</v>
      </c>
      <c r="L12" s="11">
        <v>139</v>
      </c>
      <c r="M12" s="11">
        <v>293</v>
      </c>
      <c r="N12" s="11">
        <f>SUM(P12:AA12)</f>
        <v>293</v>
      </c>
      <c r="O12" s="11">
        <f>+Z12</f>
        <v>76</v>
      </c>
      <c r="P12" s="43">
        <v>0</v>
      </c>
      <c r="Q12" s="11">
        <v>64</v>
      </c>
      <c r="R12" s="11">
        <v>0</v>
      </c>
      <c r="S12" s="11">
        <v>0</v>
      </c>
      <c r="T12" s="11">
        <v>22</v>
      </c>
      <c r="U12" s="16">
        <v>0</v>
      </c>
      <c r="V12" s="200">
        <v>0</v>
      </c>
      <c r="W12" s="11">
        <v>0</v>
      </c>
      <c r="X12" s="11">
        <v>131</v>
      </c>
      <c r="Y12" s="11">
        <v>0</v>
      </c>
      <c r="Z12" s="11">
        <v>76</v>
      </c>
      <c r="AA12" s="16">
        <v>0</v>
      </c>
      <c r="AB12" s="8"/>
      <c r="AC12" s="9"/>
      <c r="AD12" s="9"/>
      <c r="AE12" s="9"/>
      <c r="AF12" s="9"/>
      <c r="AG12" s="10"/>
      <c r="AH12" s="8"/>
      <c r="AI12" s="9"/>
      <c r="AJ12" s="9"/>
      <c r="AK12" s="11"/>
      <c r="AL12" s="11"/>
      <c r="AM12" s="11"/>
      <c r="AN12" s="11"/>
      <c r="AO12" s="11"/>
      <c r="AP12" s="11"/>
      <c r="AQ12" s="11"/>
      <c r="AR12" s="11"/>
      <c r="AS12" s="16"/>
      <c r="AT12" s="134"/>
      <c r="AU12" s="11"/>
      <c r="AV12" s="11"/>
      <c r="AW12" s="11"/>
      <c r="AX12" s="11"/>
      <c r="AY12" s="11"/>
      <c r="AZ12" s="11"/>
      <c r="BA12" s="11"/>
      <c r="BB12" s="11"/>
    </row>
    <row r="13" spans="1:54" s="135" customFormat="1" ht="30" x14ac:dyDescent="0.25">
      <c r="A13" s="4"/>
      <c r="B13" s="5"/>
      <c r="C13" s="5"/>
      <c r="D13" s="5"/>
      <c r="E13" s="5">
        <v>2</v>
      </c>
      <c r="F13" s="5">
        <v>0</v>
      </c>
      <c r="G13" s="5"/>
      <c r="H13" s="54" t="s">
        <v>125</v>
      </c>
      <c r="I13" s="87"/>
      <c r="J13" s="43"/>
      <c r="K13" s="11"/>
      <c r="L13" s="11"/>
      <c r="M13" s="11"/>
      <c r="N13" s="11"/>
      <c r="O13" s="11"/>
      <c r="P13" s="43"/>
      <c r="Q13" s="11"/>
      <c r="R13" s="11"/>
      <c r="S13" s="11"/>
      <c r="T13" s="11"/>
      <c r="U13" s="16"/>
      <c r="V13" s="200"/>
      <c r="W13" s="11"/>
      <c r="X13" s="11"/>
      <c r="Y13" s="11"/>
      <c r="Z13" s="11"/>
      <c r="AA13" s="16"/>
      <c r="AB13" s="8">
        <v>2458939.6765199997</v>
      </c>
      <c r="AC13" s="9">
        <v>2238278</v>
      </c>
      <c r="AD13" s="9">
        <v>2238278</v>
      </c>
      <c r="AE13" s="9">
        <v>2204739</v>
      </c>
      <c r="AF13" s="9">
        <f>1677261.68+AR13</f>
        <v>1821005.23</v>
      </c>
      <c r="AG13" s="10">
        <f>+AR13</f>
        <v>143743.54999999999</v>
      </c>
      <c r="AH13" s="43">
        <v>139001.88</v>
      </c>
      <c r="AI13" s="11">
        <v>144204.57</v>
      </c>
      <c r="AJ13" s="11">
        <v>163712.32999999999</v>
      </c>
      <c r="AK13" s="11">
        <v>175199.05</v>
      </c>
      <c r="AL13" s="11">
        <v>173672.86</v>
      </c>
      <c r="AM13" s="11">
        <f>8890+9326.5</f>
        <v>18216.5</v>
      </c>
      <c r="AN13" s="11">
        <v>133073.82</v>
      </c>
      <c r="AO13" s="11">
        <v>6415</v>
      </c>
      <c r="AP13" s="11">
        <v>6415</v>
      </c>
      <c r="AQ13" s="11">
        <v>150219.04</v>
      </c>
      <c r="AR13" s="11">
        <v>143743.54999999999</v>
      </c>
      <c r="AS13" s="16">
        <v>0</v>
      </c>
      <c r="AT13" s="134"/>
      <c r="AU13" s="11"/>
      <c r="AV13" s="11"/>
      <c r="AW13" s="11"/>
      <c r="AX13" s="11"/>
      <c r="AY13" s="11"/>
      <c r="AZ13" s="11"/>
      <c r="BA13" s="11"/>
      <c r="BB13" s="11"/>
    </row>
    <row r="14" spans="1:54" s="135" customFormat="1" ht="30" x14ac:dyDescent="0.25">
      <c r="A14" s="4">
        <v>4</v>
      </c>
      <c r="B14" s="5"/>
      <c r="C14" s="5"/>
      <c r="D14" s="5"/>
      <c r="E14" s="5"/>
      <c r="F14" s="5"/>
      <c r="G14" s="5">
        <v>1</v>
      </c>
      <c r="H14" s="54" t="s">
        <v>126</v>
      </c>
      <c r="I14" s="47" t="s">
        <v>101</v>
      </c>
      <c r="J14" s="8">
        <f>SUM(J15:J17)</f>
        <v>997</v>
      </c>
      <c r="K14" s="9">
        <f>SUM(K15:K17)</f>
        <v>997</v>
      </c>
      <c r="L14" s="9">
        <f>SUM(L15:L17)</f>
        <v>997</v>
      </c>
      <c r="M14" s="9">
        <f>SUM(M15:M17)</f>
        <v>997</v>
      </c>
      <c r="N14" s="9">
        <f>SUM(P14:AA14)</f>
        <v>961</v>
      </c>
      <c r="O14" s="9">
        <f>+Z14</f>
        <v>52</v>
      </c>
      <c r="P14" s="8">
        <f t="shared" ref="P14:AA14" si="1">P15+P16+P17</f>
        <v>0</v>
      </c>
      <c r="Q14" s="9">
        <f t="shared" si="1"/>
        <v>196</v>
      </c>
      <c r="R14" s="9">
        <f t="shared" si="1"/>
        <v>100</v>
      </c>
      <c r="S14" s="9">
        <f t="shared" si="1"/>
        <v>100</v>
      </c>
      <c r="T14" s="9">
        <f t="shared" si="1"/>
        <v>91</v>
      </c>
      <c r="U14" s="10">
        <v>90</v>
      </c>
      <c r="V14" s="164">
        <v>85</v>
      </c>
      <c r="W14" s="9">
        <f t="shared" si="1"/>
        <v>86</v>
      </c>
      <c r="X14" s="9">
        <v>85</v>
      </c>
      <c r="Y14" s="9">
        <v>76</v>
      </c>
      <c r="Z14" s="9">
        <v>52</v>
      </c>
      <c r="AA14" s="10">
        <f t="shared" si="1"/>
        <v>0</v>
      </c>
      <c r="AB14" s="8"/>
      <c r="AC14" s="9"/>
      <c r="AD14" s="9"/>
      <c r="AE14" s="9"/>
      <c r="AF14" s="9"/>
      <c r="AG14" s="10"/>
      <c r="AH14" s="8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10"/>
      <c r="AT14" s="134"/>
      <c r="AU14" s="9">
        <v>1016.94</v>
      </c>
      <c r="AV14" s="9">
        <v>2704833.6441720012</v>
      </c>
      <c r="AW14" s="9">
        <v>1037.2788</v>
      </c>
      <c r="AX14" s="9">
        <v>2975317.0085892016</v>
      </c>
      <c r="AY14" s="9">
        <v>1058.0243760000001</v>
      </c>
      <c r="AZ14" s="9">
        <v>3272848.709448122</v>
      </c>
      <c r="BA14" s="9">
        <v>1079.1848635200001</v>
      </c>
      <c r="BB14" s="9">
        <v>3600133.5803929344</v>
      </c>
    </row>
    <row r="15" spans="1:54" s="135" customFormat="1" ht="27" x14ac:dyDescent="0.25">
      <c r="A15" s="4"/>
      <c r="B15" s="5"/>
      <c r="C15" s="5"/>
      <c r="D15" s="5"/>
      <c r="E15" s="5"/>
      <c r="F15" s="5"/>
      <c r="G15" s="6">
        <v>4</v>
      </c>
      <c r="H15" s="114" t="s">
        <v>127</v>
      </c>
      <c r="I15" s="87" t="s">
        <v>101</v>
      </c>
      <c r="J15" s="43">
        <v>790</v>
      </c>
      <c r="K15" s="11">
        <v>790</v>
      </c>
      <c r="L15" s="11">
        <v>790</v>
      </c>
      <c r="M15" s="11">
        <v>790</v>
      </c>
      <c r="N15" s="11">
        <f>SUM(P15:AA15)</f>
        <v>766</v>
      </c>
      <c r="O15" s="9">
        <f>+Z15</f>
        <v>40</v>
      </c>
      <c r="P15" s="43">
        <v>0</v>
      </c>
      <c r="Q15" s="11">
        <v>156</v>
      </c>
      <c r="R15" s="11">
        <v>80</v>
      </c>
      <c r="S15" s="11">
        <v>80</v>
      </c>
      <c r="T15" s="11">
        <v>70</v>
      </c>
      <c r="U15" s="16">
        <v>70</v>
      </c>
      <c r="V15" s="200">
        <v>70</v>
      </c>
      <c r="W15" s="11">
        <v>70</v>
      </c>
      <c r="X15" s="11">
        <v>70</v>
      </c>
      <c r="Y15" s="11">
        <v>60</v>
      </c>
      <c r="Z15" s="11">
        <v>40</v>
      </c>
      <c r="AA15" s="16">
        <v>0</v>
      </c>
      <c r="AB15" s="8"/>
      <c r="AC15" s="9"/>
      <c r="AD15" s="9"/>
      <c r="AE15" s="9"/>
      <c r="AF15" s="9"/>
      <c r="AG15" s="10"/>
      <c r="AH15" s="8"/>
      <c r="AI15" s="9"/>
      <c r="AJ15" s="9"/>
      <c r="AK15" s="11"/>
      <c r="AL15" s="11"/>
      <c r="AM15" s="11"/>
      <c r="AN15" s="11"/>
      <c r="AO15" s="11"/>
      <c r="AP15" s="11"/>
      <c r="AQ15" s="11"/>
      <c r="AR15" s="11">
        <v>7115</v>
      </c>
      <c r="AS15" s="16"/>
      <c r="AT15" s="134"/>
      <c r="AU15" s="11"/>
      <c r="AV15" s="11"/>
      <c r="AW15" s="11"/>
      <c r="AX15" s="11"/>
      <c r="AY15" s="11"/>
      <c r="AZ15" s="11"/>
      <c r="BA15" s="11"/>
      <c r="BB15" s="11"/>
    </row>
    <row r="16" spans="1:54" s="135" customFormat="1" x14ac:dyDescent="0.25">
      <c r="A16" s="4"/>
      <c r="B16" s="5"/>
      <c r="C16" s="5"/>
      <c r="D16" s="5"/>
      <c r="E16" s="5"/>
      <c r="F16" s="5"/>
      <c r="G16" s="6">
        <v>5</v>
      </c>
      <c r="H16" s="114" t="s">
        <v>128</v>
      </c>
      <c r="I16" s="87" t="s">
        <v>101</v>
      </c>
      <c r="J16" s="43">
        <v>3</v>
      </c>
      <c r="K16" s="11">
        <v>3</v>
      </c>
      <c r="L16" s="11">
        <v>3</v>
      </c>
      <c r="M16" s="11">
        <v>3</v>
      </c>
      <c r="N16" s="11">
        <f>SUM(P16:AA16)</f>
        <v>3</v>
      </c>
      <c r="O16" s="9">
        <f>+Z16</f>
        <v>0</v>
      </c>
      <c r="P16" s="43">
        <v>0</v>
      </c>
      <c r="Q16" s="11">
        <v>0</v>
      </c>
      <c r="R16" s="11">
        <v>0</v>
      </c>
      <c r="S16" s="11">
        <v>0</v>
      </c>
      <c r="T16" s="11">
        <v>1</v>
      </c>
      <c r="U16" s="16">
        <v>0</v>
      </c>
      <c r="V16" s="200">
        <v>0</v>
      </c>
      <c r="W16" s="11">
        <v>1</v>
      </c>
      <c r="X16" s="11">
        <v>0</v>
      </c>
      <c r="Y16" s="11">
        <v>1</v>
      </c>
      <c r="Z16" s="11">
        <v>0</v>
      </c>
      <c r="AA16" s="16">
        <v>0</v>
      </c>
      <c r="AB16" s="8"/>
      <c r="AC16" s="9"/>
      <c r="AD16" s="9"/>
      <c r="AE16" s="9"/>
      <c r="AF16" s="9"/>
      <c r="AG16" s="10"/>
      <c r="AH16" s="8"/>
      <c r="AI16" s="9"/>
      <c r="AJ16" s="9"/>
      <c r="AK16" s="11"/>
      <c r="AL16" s="11"/>
      <c r="AM16" s="11"/>
      <c r="AN16" s="11"/>
      <c r="AO16" s="11"/>
      <c r="AP16" s="11"/>
      <c r="AQ16" s="11"/>
      <c r="AR16" s="11"/>
      <c r="AS16" s="16"/>
      <c r="AT16" s="134"/>
      <c r="AU16" s="11"/>
      <c r="AV16" s="11"/>
      <c r="AW16" s="11"/>
      <c r="AX16" s="11"/>
      <c r="AY16" s="11"/>
      <c r="AZ16" s="11"/>
      <c r="BA16" s="11"/>
      <c r="BB16" s="11"/>
    </row>
    <row r="17" spans="1:54" s="135" customFormat="1" x14ac:dyDescent="0.25">
      <c r="A17" s="4"/>
      <c r="B17" s="5"/>
      <c r="C17" s="5"/>
      <c r="D17" s="5"/>
      <c r="E17" s="5"/>
      <c r="F17" s="5"/>
      <c r="G17" s="6">
        <v>6</v>
      </c>
      <c r="H17" s="114" t="s">
        <v>129</v>
      </c>
      <c r="I17" s="87" t="s">
        <v>101</v>
      </c>
      <c r="J17" s="43">
        <v>204</v>
      </c>
      <c r="K17" s="11">
        <v>204</v>
      </c>
      <c r="L17" s="11">
        <v>204</v>
      </c>
      <c r="M17" s="11">
        <v>204</v>
      </c>
      <c r="N17" s="11">
        <f>SUM(P17:AA17)</f>
        <v>192</v>
      </c>
      <c r="O17" s="9">
        <f>+Z17</f>
        <v>12</v>
      </c>
      <c r="P17" s="43">
        <v>0</v>
      </c>
      <c r="Q17" s="11">
        <v>40</v>
      </c>
      <c r="R17" s="11">
        <v>20</v>
      </c>
      <c r="S17" s="11">
        <v>20</v>
      </c>
      <c r="T17" s="11">
        <v>20</v>
      </c>
      <c r="U17" s="16">
        <v>20</v>
      </c>
      <c r="V17" s="200">
        <v>15</v>
      </c>
      <c r="W17" s="11">
        <v>15</v>
      </c>
      <c r="X17" s="11">
        <v>15</v>
      </c>
      <c r="Y17" s="11">
        <v>15</v>
      </c>
      <c r="Z17" s="11">
        <v>12</v>
      </c>
      <c r="AA17" s="16">
        <v>0</v>
      </c>
      <c r="AB17" s="8"/>
      <c r="AC17" s="9"/>
      <c r="AD17" s="9"/>
      <c r="AE17" s="9"/>
      <c r="AF17" s="9"/>
      <c r="AG17" s="10"/>
      <c r="AH17" s="8"/>
      <c r="AI17" s="9"/>
      <c r="AJ17" s="9"/>
      <c r="AK17" s="11"/>
      <c r="AL17" s="11"/>
      <c r="AM17" s="11"/>
      <c r="AN17" s="11"/>
      <c r="AO17" s="11"/>
      <c r="AP17" s="11"/>
      <c r="AQ17" s="11"/>
      <c r="AR17" s="11">
        <v>868</v>
      </c>
      <c r="AS17" s="16"/>
      <c r="AT17" s="134"/>
      <c r="AU17" s="11"/>
      <c r="AV17" s="11"/>
      <c r="AW17" s="11"/>
      <c r="AX17" s="11"/>
      <c r="AY17" s="11"/>
      <c r="AZ17" s="11"/>
      <c r="BA17" s="11"/>
      <c r="BB17" s="11"/>
    </row>
    <row r="18" spans="1:54" s="135" customFormat="1" x14ac:dyDescent="0.25">
      <c r="A18" s="4"/>
      <c r="B18" s="5"/>
      <c r="C18" s="5"/>
      <c r="D18" s="5"/>
      <c r="E18" s="5">
        <v>3</v>
      </c>
      <c r="F18" s="5">
        <v>0</v>
      </c>
      <c r="G18" s="5"/>
      <c r="H18" s="54" t="s">
        <v>130</v>
      </c>
      <c r="I18" s="87"/>
      <c r="J18" s="43"/>
      <c r="K18" s="11"/>
      <c r="L18" s="11"/>
      <c r="M18" s="11"/>
      <c r="N18" s="11"/>
      <c r="O18" s="9"/>
      <c r="P18" s="43"/>
      <c r="Q18" s="11"/>
      <c r="R18" s="11"/>
      <c r="S18" s="11"/>
      <c r="T18" s="11"/>
      <c r="U18" s="16"/>
      <c r="V18" s="200"/>
      <c r="W18" s="11"/>
      <c r="X18" s="11"/>
      <c r="Y18" s="11"/>
      <c r="Z18" s="11"/>
      <c r="AA18" s="16"/>
      <c r="AB18" s="8">
        <v>13079973.303768009</v>
      </c>
      <c r="AC18" s="9">
        <v>3438575</v>
      </c>
      <c r="AD18" s="9">
        <v>3438575</v>
      </c>
      <c r="AE18" s="9">
        <v>3444523</v>
      </c>
      <c r="AF18" s="9">
        <f>2660683.38+AR18</f>
        <v>2923635.75</v>
      </c>
      <c r="AG18" s="10">
        <f>+AR18</f>
        <v>262952.37</v>
      </c>
      <c r="AH18" s="43">
        <v>248562.67</v>
      </c>
      <c r="AI18" s="11">
        <v>220802.69</v>
      </c>
      <c r="AJ18" s="11">
        <v>264104.71000000002</v>
      </c>
      <c r="AK18" s="11">
        <v>206421.84</v>
      </c>
      <c r="AL18" s="11">
        <v>263793.18</v>
      </c>
      <c r="AM18" s="11">
        <v>91500.24</v>
      </c>
      <c r="AN18" s="11">
        <v>457678.72</v>
      </c>
      <c r="AO18" s="11">
        <v>28773.03</v>
      </c>
      <c r="AP18" s="11">
        <v>24516.880000000001</v>
      </c>
      <c r="AQ18" s="11">
        <v>370008.55</v>
      </c>
      <c r="AR18" s="11">
        <v>262952.37</v>
      </c>
      <c r="AS18" s="16">
        <v>0</v>
      </c>
      <c r="AT18" s="134"/>
      <c r="AU18" s="11"/>
      <c r="AV18" s="11"/>
      <c r="AW18" s="11"/>
      <c r="AX18" s="11"/>
      <c r="AY18" s="11"/>
      <c r="AZ18" s="11"/>
      <c r="BA18" s="11"/>
      <c r="BB18" s="11"/>
    </row>
    <row r="19" spans="1:54" s="135" customFormat="1" x14ac:dyDescent="0.25">
      <c r="A19" s="4">
        <v>4</v>
      </c>
      <c r="B19" s="5"/>
      <c r="C19" s="5"/>
      <c r="D19" s="5"/>
      <c r="E19" s="5"/>
      <c r="F19" s="5"/>
      <c r="G19" s="5">
        <v>1</v>
      </c>
      <c r="H19" s="54" t="s">
        <v>131</v>
      </c>
      <c r="I19" s="47" t="s">
        <v>34</v>
      </c>
      <c r="J19" s="8">
        <f>SUM(J20:J22)</f>
        <v>298888</v>
      </c>
      <c r="K19" s="9">
        <f>SUM(K20:K22)</f>
        <v>55000</v>
      </c>
      <c r="L19" s="9">
        <f>SUM(L20:L22)</f>
        <v>55000</v>
      </c>
      <c r="M19" s="9">
        <v>78687</v>
      </c>
      <c r="N19" s="9">
        <f>58230+Z19</f>
        <v>68460</v>
      </c>
      <c r="O19" s="9">
        <f>+Z19</f>
        <v>10230</v>
      </c>
      <c r="P19" s="8">
        <f t="shared" ref="P19:AA19" si="2">SUM(P20:P22)</f>
        <v>0</v>
      </c>
      <c r="Q19" s="9">
        <f t="shared" si="2"/>
        <v>9378</v>
      </c>
      <c r="R19" s="9">
        <f t="shared" si="2"/>
        <v>4683</v>
      </c>
      <c r="S19" s="9">
        <f t="shared" si="2"/>
        <v>4686</v>
      </c>
      <c r="T19" s="9">
        <f t="shared" si="2"/>
        <v>4759</v>
      </c>
      <c r="U19" s="10">
        <v>4759</v>
      </c>
      <c r="V19" s="164">
        <v>4755</v>
      </c>
      <c r="W19" s="9">
        <f t="shared" si="2"/>
        <v>5134</v>
      </c>
      <c r="X19" s="9">
        <v>10235</v>
      </c>
      <c r="Y19" s="9">
        <v>10230</v>
      </c>
      <c r="Z19" s="9">
        <v>10230</v>
      </c>
      <c r="AA19" s="10">
        <f t="shared" si="2"/>
        <v>0</v>
      </c>
      <c r="AB19" s="8"/>
      <c r="AC19" s="9"/>
      <c r="AD19" s="9"/>
      <c r="AE19" s="9"/>
      <c r="AF19" s="9"/>
      <c r="AG19" s="10"/>
      <c r="AH19" s="8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10"/>
      <c r="AT19" s="134"/>
      <c r="AU19" s="9">
        <v>304865.76</v>
      </c>
      <c r="AV19" s="9">
        <v>14437826.846145298</v>
      </c>
      <c r="AW19" s="9">
        <v>310963.07519999996</v>
      </c>
      <c r="AX19" s="9">
        <v>15983793.132719483</v>
      </c>
      <c r="AY19" s="9">
        <v>317182.33670400007</v>
      </c>
      <c r="AZ19" s="9">
        <v>17628282.783954918</v>
      </c>
      <c r="BA19" s="9">
        <v>323525.98343808006</v>
      </c>
      <c r="BB19" s="9">
        <v>19391111.062350415</v>
      </c>
    </row>
    <row r="20" spans="1:54" s="135" customFormat="1" x14ac:dyDescent="0.25">
      <c r="A20" s="4"/>
      <c r="B20" s="5"/>
      <c r="C20" s="5"/>
      <c r="D20" s="5"/>
      <c r="E20" s="5"/>
      <c r="F20" s="5"/>
      <c r="G20" s="6">
        <v>2</v>
      </c>
      <c r="H20" s="114" t="s">
        <v>132</v>
      </c>
      <c r="I20" s="87" t="s">
        <v>34</v>
      </c>
      <c r="J20" s="43">
        <v>9586</v>
      </c>
      <c r="K20" s="11">
        <v>2818</v>
      </c>
      <c r="L20" s="11">
        <v>2818</v>
      </c>
      <c r="M20" s="11">
        <v>2818</v>
      </c>
      <c r="N20" s="11">
        <f>SUM(P20:AA20)</f>
        <v>2585</v>
      </c>
      <c r="O20" s="9">
        <f>+Z20</f>
        <v>235</v>
      </c>
      <c r="P20" s="43">
        <v>0</v>
      </c>
      <c r="Q20" s="11">
        <v>470</v>
      </c>
      <c r="R20" s="11">
        <v>235</v>
      </c>
      <c r="S20" s="11">
        <v>235</v>
      </c>
      <c r="T20" s="11">
        <v>235</v>
      </c>
      <c r="U20" s="16">
        <v>235</v>
      </c>
      <c r="V20" s="200">
        <v>235</v>
      </c>
      <c r="W20" s="11">
        <v>235</v>
      </c>
      <c r="X20" s="11">
        <v>235</v>
      </c>
      <c r="Y20" s="11">
        <v>235</v>
      </c>
      <c r="Z20" s="11">
        <v>235</v>
      </c>
      <c r="AA20" s="16">
        <v>0</v>
      </c>
      <c r="AB20" s="43"/>
      <c r="AC20" s="11"/>
      <c r="AD20" s="11"/>
      <c r="AE20" s="11"/>
      <c r="AF20" s="11"/>
      <c r="AG20" s="16"/>
      <c r="AH20" s="43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6"/>
      <c r="AT20" s="134"/>
      <c r="AU20" s="11"/>
      <c r="AV20" s="11"/>
      <c r="AW20" s="11"/>
      <c r="AX20" s="11"/>
      <c r="AY20" s="11"/>
      <c r="AZ20" s="11"/>
      <c r="BA20" s="11"/>
      <c r="BB20" s="11"/>
    </row>
    <row r="21" spans="1:54" s="135" customFormat="1" x14ac:dyDescent="0.25">
      <c r="A21" s="4"/>
      <c r="B21" s="5"/>
      <c r="C21" s="5"/>
      <c r="D21" s="5"/>
      <c r="E21" s="5"/>
      <c r="F21" s="5"/>
      <c r="G21" s="6">
        <v>3</v>
      </c>
      <c r="H21" s="114" t="s">
        <v>133</v>
      </c>
      <c r="I21" s="87" t="s">
        <v>34</v>
      </c>
      <c r="J21" s="43">
        <v>57002</v>
      </c>
      <c r="K21" s="11">
        <v>11882</v>
      </c>
      <c r="L21" s="11">
        <v>11882</v>
      </c>
      <c r="M21" s="11">
        <v>11882</v>
      </c>
      <c r="N21" s="11">
        <f>9890+Z21</f>
        <v>10886</v>
      </c>
      <c r="O21" s="9">
        <f>+Z21</f>
        <v>996</v>
      </c>
      <c r="P21" s="43">
        <v>0</v>
      </c>
      <c r="Q21" s="11">
        <v>1910</v>
      </c>
      <c r="R21" s="11">
        <v>953</v>
      </c>
      <c r="S21" s="11">
        <v>956</v>
      </c>
      <c r="T21" s="11">
        <v>1021</v>
      </c>
      <c r="U21" s="16">
        <v>1021</v>
      </c>
      <c r="V21" s="200">
        <v>1021</v>
      </c>
      <c r="W21" s="11">
        <v>1400</v>
      </c>
      <c r="X21" s="11">
        <v>1001</v>
      </c>
      <c r="Y21" s="11">
        <v>996</v>
      </c>
      <c r="Z21" s="11">
        <v>996</v>
      </c>
      <c r="AA21" s="16">
        <v>0</v>
      </c>
      <c r="AB21" s="43"/>
      <c r="AC21" s="11"/>
      <c r="AD21" s="11"/>
      <c r="AE21" s="11"/>
      <c r="AF21" s="11"/>
      <c r="AG21" s="16"/>
      <c r="AH21" s="43"/>
      <c r="AI21" s="11"/>
      <c r="AJ21" s="11"/>
      <c r="AK21" s="11"/>
      <c r="AL21" s="11"/>
      <c r="AM21" s="11"/>
      <c r="AN21" s="11"/>
      <c r="AO21" s="11"/>
      <c r="AP21" s="11"/>
      <c r="AQ21" s="11"/>
      <c r="AR21" s="11">
        <v>42146.28</v>
      </c>
      <c r="AS21" s="16"/>
      <c r="AT21" s="134"/>
      <c r="AU21" s="11"/>
      <c r="AV21" s="11"/>
      <c r="AW21" s="11"/>
      <c r="AX21" s="11"/>
      <c r="AY21" s="11"/>
      <c r="AZ21" s="11"/>
      <c r="BA21" s="11"/>
      <c r="BB21" s="11"/>
    </row>
    <row r="22" spans="1:54" s="135" customFormat="1" ht="27.75" thickBot="1" x14ac:dyDescent="0.3">
      <c r="A22" s="105"/>
      <c r="B22" s="113"/>
      <c r="C22" s="113"/>
      <c r="D22" s="113"/>
      <c r="E22" s="113"/>
      <c r="F22" s="113"/>
      <c r="G22" s="63">
        <v>4</v>
      </c>
      <c r="H22" s="64" t="s">
        <v>134</v>
      </c>
      <c r="I22" s="125" t="s">
        <v>34</v>
      </c>
      <c r="J22" s="44">
        <v>232300</v>
      </c>
      <c r="K22" s="15">
        <v>40300</v>
      </c>
      <c r="L22" s="15">
        <v>40300</v>
      </c>
      <c r="M22" s="15">
        <v>63987</v>
      </c>
      <c r="N22" s="15">
        <f>SUM(P22:AA22)</f>
        <v>54989</v>
      </c>
      <c r="O22" s="9">
        <f>+Z22</f>
        <v>8999</v>
      </c>
      <c r="P22" s="44">
        <v>0</v>
      </c>
      <c r="Q22" s="15">
        <v>6998</v>
      </c>
      <c r="R22" s="15">
        <v>3495</v>
      </c>
      <c r="S22" s="15">
        <v>3495</v>
      </c>
      <c r="T22" s="15">
        <v>3503</v>
      </c>
      <c r="U22" s="17">
        <v>3503</v>
      </c>
      <c r="V22" s="201">
        <v>3499</v>
      </c>
      <c r="W22" s="15">
        <v>3499</v>
      </c>
      <c r="X22" s="15">
        <v>8999</v>
      </c>
      <c r="Y22" s="15">
        <v>8999</v>
      </c>
      <c r="Z22" s="15">
        <v>8999</v>
      </c>
      <c r="AA22" s="17">
        <v>0</v>
      </c>
      <c r="AB22" s="44"/>
      <c r="AC22" s="15"/>
      <c r="AD22" s="15"/>
      <c r="AE22" s="15"/>
      <c r="AF22" s="15"/>
      <c r="AG22" s="17"/>
      <c r="AH22" s="44"/>
      <c r="AI22" s="15"/>
      <c r="AJ22" s="15"/>
      <c r="AK22" s="15"/>
      <c r="AL22" s="15"/>
      <c r="AM22" s="15"/>
      <c r="AN22" s="15"/>
      <c r="AO22" s="15"/>
      <c r="AP22" s="15"/>
      <c r="AQ22" s="15"/>
      <c r="AR22" s="15">
        <v>33347.699999999997</v>
      </c>
      <c r="AS22" s="17"/>
      <c r="AT22" s="134"/>
      <c r="AU22" s="11"/>
      <c r="AV22" s="11"/>
      <c r="AW22" s="11"/>
      <c r="AX22" s="11"/>
      <c r="AY22" s="11"/>
      <c r="AZ22" s="11"/>
      <c r="BA22" s="11"/>
      <c r="BB22" s="11"/>
    </row>
    <row r="23" spans="1:54" s="135" customFormat="1" x14ac:dyDescent="0.25"/>
    <row r="24" spans="1:54" s="135" customFormat="1" x14ac:dyDescent="0.25"/>
    <row r="25" spans="1:54" s="135" customFormat="1" x14ac:dyDescent="0.25">
      <c r="H25" s="135" t="s">
        <v>223</v>
      </c>
    </row>
    <row r="26" spans="1:54" x14ac:dyDescent="0.25">
      <c r="H26" s="135" t="s">
        <v>221</v>
      </c>
    </row>
  </sheetData>
  <mergeCells count="7">
    <mergeCell ref="AW5:AX5"/>
    <mergeCell ref="AY5:AZ5"/>
    <mergeCell ref="BA5:BB5"/>
    <mergeCell ref="A5:I5"/>
    <mergeCell ref="J5:O5"/>
    <mergeCell ref="AB5:AG5"/>
    <mergeCell ref="AU5:AV5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theme="4" tint="0.39997558519241921"/>
  </sheetPr>
  <dimension ref="A1:BC56"/>
  <sheetViews>
    <sheetView zoomScale="85" zoomScaleNormal="85" workbookViewId="0">
      <pane xSplit="8" ySplit="6" topLeftCell="I7" activePane="bottomRight" state="frozen"/>
      <selection activeCell="J1" sqref="J1:K1048576"/>
      <selection pane="topRight" activeCell="J1" sqref="J1:K1048576"/>
      <selection pane="bottomLeft" activeCell="J1" sqref="J1:K1048576"/>
      <selection pane="bottomRight" activeCell="M1" sqref="M1:M1048576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hidden="1" customWidth="1"/>
    <col min="12" max="13" width="10.7109375" customWidth="1"/>
    <col min="14" max="15" width="13.7109375" customWidth="1"/>
    <col min="16" max="27" width="13.7109375" hidden="1" customWidth="1"/>
    <col min="28" max="33" width="13.7109375" customWidth="1"/>
    <col min="34" max="45" width="13.7109375" hidden="1" customWidth="1"/>
    <col min="46" max="46" width="11.5703125" bestFit="1" customWidth="1"/>
    <col min="48" max="48" width="10.7109375" customWidth="1"/>
    <col min="49" max="49" width="13.7109375" customWidth="1"/>
    <col min="50" max="50" width="10.7109375" customWidth="1"/>
    <col min="51" max="51" width="13.7109375" customWidth="1"/>
    <col min="52" max="52" width="10.7109375" customWidth="1"/>
    <col min="53" max="53" width="13.7109375" customWidth="1"/>
    <col min="54" max="54" width="10.7109375" customWidth="1"/>
    <col min="55" max="55" width="13.7109375" customWidth="1"/>
  </cols>
  <sheetData>
    <row r="1" spans="1:55" ht="15" customHeight="1" x14ac:dyDescent="0.25">
      <c r="A1" s="32" t="s">
        <v>49</v>
      </c>
    </row>
    <row r="2" spans="1:55" ht="15" customHeight="1" x14ac:dyDescent="0.25">
      <c r="A2" s="32" t="s">
        <v>50</v>
      </c>
    </row>
    <row r="3" spans="1:55" ht="15" customHeight="1" x14ac:dyDescent="0.25">
      <c r="A3" s="32" t="str">
        <f>+'207. DGRTN'!A3</f>
        <v xml:space="preserve">EJERCICIO FISCAL 2022 - ACTUALIZADA NOVIEMBRE </v>
      </c>
    </row>
    <row r="4" spans="1:55" ht="15" customHeight="1" thickBot="1" x14ac:dyDescent="0.3"/>
    <row r="5" spans="1:55" s="115" customFormat="1" x14ac:dyDescent="0.25">
      <c r="A5" s="328" t="s">
        <v>135</v>
      </c>
      <c r="B5" s="329"/>
      <c r="C5" s="329"/>
      <c r="D5" s="329"/>
      <c r="E5" s="329"/>
      <c r="F5" s="329"/>
      <c r="G5" s="329"/>
      <c r="H5" s="329"/>
      <c r="I5" s="329"/>
      <c r="J5" s="330" t="s">
        <v>1</v>
      </c>
      <c r="K5" s="330"/>
      <c r="L5" s="330"/>
      <c r="M5" s="330"/>
      <c r="N5" s="330"/>
      <c r="O5" s="330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30" t="s">
        <v>117</v>
      </c>
      <c r="AC5" s="330"/>
      <c r="AD5" s="330"/>
      <c r="AE5" s="330"/>
      <c r="AF5" s="330"/>
      <c r="AG5" s="331"/>
      <c r="AH5" s="162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40"/>
      <c r="AT5" s="136"/>
      <c r="AU5" s="136"/>
      <c r="AV5" s="327" t="s">
        <v>51</v>
      </c>
      <c r="AW5" s="327"/>
      <c r="AX5" s="327" t="s">
        <v>52</v>
      </c>
      <c r="AY5" s="327"/>
      <c r="AZ5" s="327" t="s">
        <v>53</v>
      </c>
      <c r="BA5" s="327"/>
      <c r="BB5" s="327" t="s">
        <v>55</v>
      </c>
      <c r="BC5" s="327"/>
    </row>
    <row r="6" spans="1:55" s="117" customFormat="1" ht="36.75" thickBot="1" x14ac:dyDescent="0.3">
      <c r="A6" s="255" t="s">
        <v>3</v>
      </c>
      <c r="B6" s="246" t="s">
        <v>4</v>
      </c>
      <c r="C6" s="246" t="s">
        <v>5</v>
      </c>
      <c r="D6" s="246" t="s">
        <v>6</v>
      </c>
      <c r="E6" s="246" t="s">
        <v>7</v>
      </c>
      <c r="F6" s="246" t="s">
        <v>8</v>
      </c>
      <c r="G6" s="246" t="s">
        <v>9</v>
      </c>
      <c r="H6" s="247" t="s">
        <v>10</v>
      </c>
      <c r="I6" s="248" t="s">
        <v>11</v>
      </c>
      <c r="J6" s="249" t="s">
        <v>12</v>
      </c>
      <c r="K6" s="249" t="s">
        <v>65</v>
      </c>
      <c r="L6" s="249" t="s">
        <v>13</v>
      </c>
      <c r="M6" s="249" t="s">
        <v>14</v>
      </c>
      <c r="N6" s="250" t="s">
        <v>15</v>
      </c>
      <c r="O6" s="250" t="s">
        <v>16</v>
      </c>
      <c r="P6" s="250" t="s">
        <v>17</v>
      </c>
      <c r="Q6" s="250" t="s">
        <v>18</v>
      </c>
      <c r="R6" s="250" t="s">
        <v>19</v>
      </c>
      <c r="S6" s="250" t="s">
        <v>20</v>
      </c>
      <c r="T6" s="250" t="s">
        <v>21</v>
      </c>
      <c r="U6" s="250" t="s">
        <v>22</v>
      </c>
      <c r="V6" s="250" t="s">
        <v>23</v>
      </c>
      <c r="W6" s="250" t="s">
        <v>24</v>
      </c>
      <c r="X6" s="250" t="s">
        <v>25</v>
      </c>
      <c r="Y6" s="250" t="s">
        <v>26</v>
      </c>
      <c r="Z6" s="250" t="s">
        <v>27</v>
      </c>
      <c r="AA6" s="250" t="s">
        <v>28</v>
      </c>
      <c r="AB6" s="249" t="s">
        <v>12</v>
      </c>
      <c r="AC6" s="249" t="s">
        <v>65</v>
      </c>
      <c r="AD6" s="249" t="s">
        <v>13</v>
      </c>
      <c r="AE6" s="249" t="s">
        <v>14</v>
      </c>
      <c r="AF6" s="250" t="s">
        <v>15</v>
      </c>
      <c r="AG6" s="256" t="s">
        <v>16</v>
      </c>
      <c r="AH6" s="30" t="s">
        <v>17</v>
      </c>
      <c r="AI6" s="28" t="s">
        <v>18</v>
      </c>
      <c r="AJ6" s="28" t="s">
        <v>19</v>
      </c>
      <c r="AK6" s="28" t="s">
        <v>20</v>
      </c>
      <c r="AL6" s="28" t="s">
        <v>21</v>
      </c>
      <c r="AM6" s="28" t="s">
        <v>22</v>
      </c>
      <c r="AN6" s="28" t="s">
        <v>23</v>
      </c>
      <c r="AO6" s="28" t="s">
        <v>24</v>
      </c>
      <c r="AP6" s="28" t="s">
        <v>25</v>
      </c>
      <c r="AQ6" s="28" t="s">
        <v>26</v>
      </c>
      <c r="AR6" s="28" t="s">
        <v>27</v>
      </c>
      <c r="AS6" s="29" t="s">
        <v>28</v>
      </c>
      <c r="AT6" s="137"/>
      <c r="AU6" s="137"/>
      <c r="AV6" s="70" t="s">
        <v>54</v>
      </c>
      <c r="AW6" s="70" t="s">
        <v>2</v>
      </c>
      <c r="AX6" s="70" t="s">
        <v>54</v>
      </c>
      <c r="AY6" s="70" t="s">
        <v>2</v>
      </c>
      <c r="AZ6" s="70" t="s">
        <v>54</v>
      </c>
      <c r="BA6" s="70" t="s">
        <v>2</v>
      </c>
      <c r="BB6" s="70" t="s">
        <v>54</v>
      </c>
      <c r="BC6" s="70" t="s">
        <v>2</v>
      </c>
    </row>
    <row r="7" spans="1:55" s="115" customFormat="1" x14ac:dyDescent="0.25">
      <c r="A7" s="4"/>
      <c r="B7" s="5">
        <v>21</v>
      </c>
      <c r="C7" s="5"/>
      <c r="D7" s="5"/>
      <c r="E7" s="5"/>
      <c r="F7" s="5"/>
      <c r="G7" s="5"/>
      <c r="H7" s="54" t="s">
        <v>136</v>
      </c>
      <c r="I7" s="211"/>
      <c r="J7" s="9"/>
      <c r="K7" s="9"/>
      <c r="L7" s="9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9"/>
      <c r="AC7" s="9"/>
      <c r="AD7" s="9"/>
      <c r="AE7" s="11"/>
      <c r="AF7" s="11"/>
      <c r="AG7" s="16"/>
      <c r="AH7" s="199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3"/>
      <c r="AT7" s="136"/>
      <c r="AU7" s="136"/>
      <c r="AV7" s="11"/>
      <c r="AW7" s="11"/>
      <c r="AX7" s="11"/>
      <c r="AY7" s="11"/>
      <c r="AZ7" s="11"/>
      <c r="BA7" s="11"/>
      <c r="BB7" s="11"/>
      <c r="BC7" s="11"/>
    </row>
    <row r="8" spans="1:55" s="115" customFormat="1" x14ac:dyDescent="0.25">
      <c r="A8" s="4"/>
      <c r="B8" s="5"/>
      <c r="C8" s="5">
        <v>0</v>
      </c>
      <c r="D8" s="5"/>
      <c r="E8" s="5"/>
      <c r="F8" s="5"/>
      <c r="G8" s="5"/>
      <c r="H8" s="54" t="s">
        <v>30</v>
      </c>
      <c r="I8" s="2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6"/>
      <c r="AH8" s="200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6"/>
      <c r="AT8" s="136"/>
      <c r="AU8" s="136"/>
      <c r="AV8" s="11"/>
      <c r="AW8" s="11"/>
      <c r="AX8" s="11"/>
      <c r="AY8" s="11"/>
      <c r="AZ8" s="11"/>
      <c r="BA8" s="11"/>
      <c r="BB8" s="11"/>
      <c r="BC8" s="11"/>
    </row>
    <row r="9" spans="1:55" s="115" customFormat="1" x14ac:dyDescent="0.25">
      <c r="A9" s="4"/>
      <c r="B9" s="5"/>
      <c r="C9" s="5"/>
      <c r="D9" s="5">
        <v>0</v>
      </c>
      <c r="E9" s="5"/>
      <c r="F9" s="5"/>
      <c r="G9" s="5"/>
      <c r="H9" s="54" t="s">
        <v>31</v>
      </c>
      <c r="I9" s="2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9"/>
      <c r="AC9" s="9"/>
      <c r="AD9" s="9"/>
      <c r="AE9" s="9"/>
      <c r="AF9" s="9"/>
      <c r="AG9" s="10"/>
      <c r="AH9" s="164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6"/>
      <c r="AT9" s="136"/>
      <c r="AU9" s="136"/>
      <c r="AV9" s="11"/>
      <c r="AW9" s="11"/>
      <c r="AX9" s="11"/>
      <c r="AY9" s="11"/>
      <c r="AZ9" s="11"/>
      <c r="BA9" s="11"/>
      <c r="BB9" s="11"/>
      <c r="BC9" s="11"/>
    </row>
    <row r="10" spans="1:55" s="115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4" t="s">
        <v>59</v>
      </c>
      <c r="I10" s="2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9">
        <v>9395371</v>
      </c>
      <c r="AC10" s="9">
        <v>7746848</v>
      </c>
      <c r="AD10" s="9">
        <v>7746848</v>
      </c>
      <c r="AE10" s="9">
        <v>7113855</v>
      </c>
      <c r="AF10" s="9">
        <f>4755342.03+AR10</f>
        <v>5236654.6100000003</v>
      </c>
      <c r="AG10" s="10">
        <f>+AQ10</f>
        <v>538757.86</v>
      </c>
      <c r="AH10" s="200">
        <v>319928.96999999997</v>
      </c>
      <c r="AI10" s="11">
        <v>399758.33</v>
      </c>
      <c r="AJ10" s="11">
        <v>439159.07</v>
      </c>
      <c r="AK10" s="11">
        <v>464265.41</v>
      </c>
      <c r="AL10" s="11">
        <v>506671.35999999999</v>
      </c>
      <c r="AM10" s="11">
        <v>185196.3</v>
      </c>
      <c r="AN10" s="11">
        <v>808915.78</v>
      </c>
      <c r="AO10" s="11">
        <v>76930.55</v>
      </c>
      <c r="AP10" s="11">
        <v>47750.559999999998</v>
      </c>
      <c r="AQ10" s="11">
        <v>538757.86</v>
      </c>
      <c r="AR10" s="11">
        <v>481312.58</v>
      </c>
      <c r="AS10" s="16">
        <v>0</v>
      </c>
      <c r="AT10" s="138"/>
      <c r="AU10" s="136"/>
      <c r="AV10" s="11"/>
      <c r="AW10" s="11"/>
      <c r="AX10" s="11"/>
      <c r="AY10" s="11"/>
      <c r="AZ10" s="11"/>
      <c r="BA10" s="11"/>
      <c r="BB10" s="11"/>
      <c r="BC10" s="11"/>
    </row>
    <row r="11" spans="1:55" s="115" customFormat="1" x14ac:dyDescent="0.25">
      <c r="A11" s="4">
        <v>4</v>
      </c>
      <c r="B11" s="5"/>
      <c r="C11" s="5"/>
      <c r="D11" s="5"/>
      <c r="E11" s="5"/>
      <c r="F11" s="5"/>
      <c r="G11" s="5">
        <v>1</v>
      </c>
      <c r="H11" s="54" t="s">
        <v>60</v>
      </c>
      <c r="I11" s="254" t="s">
        <v>34</v>
      </c>
      <c r="J11" s="9">
        <f>J12</f>
        <v>61</v>
      </c>
      <c r="K11" s="9">
        <f>K12</f>
        <v>53</v>
      </c>
      <c r="L11" s="9">
        <f>L12</f>
        <v>53</v>
      </c>
      <c r="M11" s="9">
        <v>166</v>
      </c>
      <c r="N11" s="9">
        <f>N12</f>
        <v>163</v>
      </c>
      <c r="O11" s="9">
        <f>+Z11</f>
        <v>5</v>
      </c>
      <c r="P11" s="9">
        <f>+P12</f>
        <v>0</v>
      </c>
      <c r="Q11" s="9">
        <f>+Q12</f>
        <v>41</v>
      </c>
      <c r="R11" s="9">
        <f>+R12</f>
        <v>0</v>
      </c>
      <c r="S11" s="9">
        <f>+S12</f>
        <v>0</v>
      </c>
      <c r="T11" s="9">
        <f>SUM(T12)</f>
        <v>2</v>
      </c>
      <c r="U11" s="9">
        <f>U12</f>
        <v>1</v>
      </c>
      <c r="V11" s="9">
        <f t="shared" ref="V11:AA11" si="0">SUM(V12)</f>
        <v>76</v>
      </c>
      <c r="W11" s="9">
        <f t="shared" si="0"/>
        <v>0</v>
      </c>
      <c r="X11" s="9">
        <f t="shared" si="0"/>
        <v>1</v>
      </c>
      <c r="Y11" s="9">
        <v>37</v>
      </c>
      <c r="Z11" s="9">
        <v>5</v>
      </c>
      <c r="AA11" s="9">
        <f t="shared" si="0"/>
        <v>0</v>
      </c>
      <c r="AB11" s="9"/>
      <c r="AC11" s="9"/>
      <c r="AD11" s="9"/>
      <c r="AE11" s="9"/>
      <c r="AF11" s="9"/>
      <c r="AG11" s="10"/>
      <c r="AH11" s="164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10"/>
      <c r="AT11" s="136"/>
      <c r="AU11" s="136"/>
      <c r="AV11" s="9">
        <v>64.05</v>
      </c>
      <c r="AW11" s="9">
        <v>9865139.5500000007</v>
      </c>
      <c r="AX11" s="9">
        <v>67.252499999999998</v>
      </c>
      <c r="AY11" s="9">
        <v>10358396.5275</v>
      </c>
      <c r="AZ11" s="9">
        <v>70.615124999999992</v>
      </c>
      <c r="BA11" s="9">
        <v>10876316.353875</v>
      </c>
      <c r="BB11" s="9">
        <v>74.145881249999988</v>
      </c>
      <c r="BC11" s="9">
        <v>11420132.171568749</v>
      </c>
    </row>
    <row r="12" spans="1:55" s="115" customFormat="1" x14ac:dyDescent="0.25">
      <c r="A12" s="4"/>
      <c r="B12" s="5"/>
      <c r="C12" s="5"/>
      <c r="D12" s="5"/>
      <c r="E12" s="5"/>
      <c r="F12" s="5"/>
      <c r="G12" s="6">
        <v>2</v>
      </c>
      <c r="H12" s="114" t="s">
        <v>60</v>
      </c>
      <c r="I12" s="211" t="s">
        <v>34</v>
      </c>
      <c r="J12" s="11">
        <v>61</v>
      </c>
      <c r="K12" s="11">
        <v>53</v>
      </c>
      <c r="L12" s="11">
        <v>53</v>
      </c>
      <c r="M12" s="11">
        <v>166</v>
      </c>
      <c r="N12" s="11">
        <f>158+O12</f>
        <v>163</v>
      </c>
      <c r="O12" s="9">
        <f>+Z12</f>
        <v>5</v>
      </c>
      <c r="P12" s="11">
        <v>0</v>
      </c>
      <c r="Q12" s="11">
        <v>41</v>
      </c>
      <c r="R12" s="11">
        <v>0</v>
      </c>
      <c r="S12" s="11">
        <v>0</v>
      </c>
      <c r="T12" s="11">
        <v>2</v>
      </c>
      <c r="U12" s="11">
        <v>1</v>
      </c>
      <c r="V12" s="11">
        <v>76</v>
      </c>
      <c r="W12" s="11">
        <v>0</v>
      </c>
      <c r="X12" s="11">
        <v>1</v>
      </c>
      <c r="Y12" s="11">
        <v>37</v>
      </c>
      <c r="Z12" s="11">
        <v>5</v>
      </c>
      <c r="AA12" s="11">
        <v>0</v>
      </c>
      <c r="AB12" s="9"/>
      <c r="AC12" s="9"/>
      <c r="AD12" s="9"/>
      <c r="AE12" s="9"/>
      <c r="AF12" s="9"/>
      <c r="AG12" s="10"/>
      <c r="AH12" s="164"/>
      <c r="AI12" s="9"/>
      <c r="AJ12" s="9"/>
      <c r="AK12" s="11"/>
      <c r="AL12" s="9"/>
      <c r="AM12" s="11"/>
      <c r="AN12" s="11"/>
      <c r="AO12" s="11"/>
      <c r="AP12" s="11"/>
      <c r="AQ12" s="11"/>
      <c r="AR12" s="11"/>
      <c r="AS12" s="16"/>
      <c r="AT12" s="136"/>
      <c r="AU12" s="136"/>
      <c r="AV12" s="9"/>
      <c r="AW12" s="9"/>
      <c r="AX12" s="9"/>
      <c r="AY12" s="9"/>
      <c r="AZ12" s="9"/>
      <c r="BA12" s="9"/>
      <c r="BB12" s="9"/>
      <c r="BC12" s="9"/>
    </row>
    <row r="13" spans="1:55" s="115" customFormat="1" ht="30" x14ac:dyDescent="0.25">
      <c r="A13" s="4"/>
      <c r="B13" s="5"/>
      <c r="C13" s="5"/>
      <c r="D13" s="5"/>
      <c r="E13" s="5">
        <v>2</v>
      </c>
      <c r="F13" s="5">
        <v>0</v>
      </c>
      <c r="G13" s="5"/>
      <c r="H13" s="54" t="s">
        <v>137</v>
      </c>
      <c r="I13" s="2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9">
        <v>1355260</v>
      </c>
      <c r="AC13" s="9">
        <v>1299820</v>
      </c>
      <c r="AD13" s="9">
        <v>1554820</v>
      </c>
      <c r="AE13" s="9">
        <v>1334813</v>
      </c>
      <c r="AF13" s="9">
        <f>776037.49+AR13</f>
        <v>990958.91</v>
      </c>
      <c r="AG13" s="10">
        <f>+AQ13</f>
        <v>52970.080000000002</v>
      </c>
      <c r="AH13" s="200">
        <v>7795.7</v>
      </c>
      <c r="AI13" s="11">
        <v>89656.8</v>
      </c>
      <c r="AJ13" s="11">
        <v>91735.28</v>
      </c>
      <c r="AK13" s="11">
        <v>71026.55</v>
      </c>
      <c r="AL13" s="11">
        <v>67444.36</v>
      </c>
      <c r="AM13" s="11">
        <v>156670</v>
      </c>
      <c r="AN13" s="11">
        <v>530764.13</v>
      </c>
      <c r="AO13" s="11">
        <v>116444.14</v>
      </c>
      <c r="AP13" s="11">
        <v>75859.14</v>
      </c>
      <c r="AQ13" s="11">
        <v>52970.080000000002</v>
      </c>
      <c r="AR13" s="11">
        <v>214921.42</v>
      </c>
      <c r="AS13" s="16">
        <v>0</v>
      </c>
      <c r="AT13" s="138"/>
      <c r="AU13" s="136"/>
      <c r="AV13" s="9">
        <v>4352</v>
      </c>
      <c r="AW13" s="9">
        <v>1670382.8399999999</v>
      </c>
      <c r="AX13" s="9">
        <v>4558.835</v>
      </c>
      <c r="AY13" s="9">
        <v>1703315.7708000001</v>
      </c>
      <c r="AZ13" s="9">
        <v>4775.9964499999996</v>
      </c>
      <c r="BA13" s="9">
        <v>1737618.875916</v>
      </c>
      <c r="BB13" s="9">
        <v>5004.0003664999995</v>
      </c>
      <c r="BC13" s="9">
        <v>1773355.13461932</v>
      </c>
    </row>
    <row r="14" spans="1:55" s="115" customFormat="1" x14ac:dyDescent="0.25">
      <c r="A14" s="4">
        <v>4</v>
      </c>
      <c r="B14" s="5"/>
      <c r="C14" s="5"/>
      <c r="D14" s="5"/>
      <c r="E14" s="5"/>
      <c r="F14" s="5"/>
      <c r="G14" s="5">
        <v>1</v>
      </c>
      <c r="H14" s="54" t="s">
        <v>138</v>
      </c>
      <c r="I14" s="254" t="s">
        <v>122</v>
      </c>
      <c r="J14" s="9">
        <f t="shared" ref="J14:AA14" si="1">J15+J16+J17</f>
        <v>4071</v>
      </c>
      <c r="K14" s="9">
        <f t="shared" si="1"/>
        <v>4071</v>
      </c>
      <c r="L14" s="9">
        <f t="shared" si="1"/>
        <v>4071</v>
      </c>
      <c r="M14" s="9">
        <v>2802</v>
      </c>
      <c r="N14" s="9">
        <f>2190+O14</f>
        <v>2534</v>
      </c>
      <c r="O14" s="9">
        <f>+Z14</f>
        <v>344</v>
      </c>
      <c r="P14" s="9">
        <f t="shared" si="1"/>
        <v>0</v>
      </c>
      <c r="Q14" s="9">
        <f t="shared" si="1"/>
        <v>173</v>
      </c>
      <c r="R14" s="9">
        <f t="shared" si="1"/>
        <v>276</v>
      </c>
      <c r="S14" s="9">
        <f t="shared" si="1"/>
        <v>146</v>
      </c>
      <c r="T14" s="9">
        <f t="shared" si="1"/>
        <v>241</v>
      </c>
      <c r="U14" s="9">
        <v>244</v>
      </c>
      <c r="V14" s="9">
        <v>217</v>
      </c>
      <c r="W14" s="9">
        <f t="shared" si="1"/>
        <v>224</v>
      </c>
      <c r="X14" s="9">
        <v>392</v>
      </c>
      <c r="Y14" s="9">
        <v>277</v>
      </c>
      <c r="Z14" s="9">
        <v>344</v>
      </c>
      <c r="AA14" s="9">
        <f t="shared" si="1"/>
        <v>0</v>
      </c>
      <c r="AB14" s="9"/>
      <c r="AC14" s="9"/>
      <c r="AD14" s="9"/>
      <c r="AE14" s="9"/>
      <c r="AF14" s="9"/>
      <c r="AG14" s="10"/>
      <c r="AH14" s="164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10"/>
      <c r="AT14" s="136"/>
      <c r="AU14" s="136"/>
      <c r="AV14" s="11"/>
      <c r="AW14" s="11"/>
      <c r="AX14" s="11"/>
      <c r="AY14" s="11"/>
      <c r="AZ14" s="11"/>
      <c r="BA14" s="11"/>
      <c r="BB14" s="11"/>
      <c r="BC14" s="11"/>
    </row>
    <row r="15" spans="1:55" s="115" customFormat="1" x14ac:dyDescent="0.25">
      <c r="A15" s="4"/>
      <c r="B15" s="5"/>
      <c r="C15" s="5"/>
      <c r="D15" s="5"/>
      <c r="E15" s="5"/>
      <c r="F15" s="5"/>
      <c r="G15" s="6">
        <v>2</v>
      </c>
      <c r="H15" s="114" t="s">
        <v>139</v>
      </c>
      <c r="I15" s="211" t="s">
        <v>122</v>
      </c>
      <c r="J15" s="11">
        <v>3930</v>
      </c>
      <c r="K15" s="11">
        <v>3930</v>
      </c>
      <c r="L15" s="11">
        <v>3930</v>
      </c>
      <c r="M15" s="11">
        <v>2701</v>
      </c>
      <c r="N15" s="11">
        <f>2128+O15</f>
        <v>2453</v>
      </c>
      <c r="O15" s="9">
        <f>+Z15</f>
        <v>325</v>
      </c>
      <c r="P15" s="11">
        <v>0</v>
      </c>
      <c r="Q15" s="11">
        <v>170</v>
      </c>
      <c r="R15" s="11">
        <v>272</v>
      </c>
      <c r="S15" s="11">
        <v>143</v>
      </c>
      <c r="T15" s="11">
        <v>237</v>
      </c>
      <c r="U15" s="11">
        <v>242</v>
      </c>
      <c r="V15" s="11">
        <v>214</v>
      </c>
      <c r="W15" s="11">
        <v>216</v>
      </c>
      <c r="X15" s="11">
        <v>374</v>
      </c>
      <c r="Y15" s="11">
        <v>260</v>
      </c>
      <c r="Z15" s="11">
        <v>325</v>
      </c>
      <c r="AA15" s="11">
        <v>0</v>
      </c>
      <c r="AB15" s="11"/>
      <c r="AC15" s="11"/>
      <c r="AD15" s="11"/>
      <c r="AE15" s="11"/>
      <c r="AF15" s="11"/>
      <c r="AG15" s="16"/>
      <c r="AH15" s="200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6"/>
      <c r="AT15" s="136"/>
      <c r="AU15" s="136"/>
      <c r="AV15" s="11"/>
      <c r="AW15" s="11"/>
      <c r="AX15" s="11"/>
      <c r="AY15" s="11"/>
      <c r="AZ15" s="11"/>
      <c r="BA15" s="11"/>
      <c r="BB15" s="11"/>
      <c r="BC15" s="11"/>
    </row>
    <row r="16" spans="1:55" s="115" customFormat="1" x14ac:dyDescent="0.25">
      <c r="A16" s="4"/>
      <c r="B16" s="5"/>
      <c r="C16" s="5"/>
      <c r="D16" s="5"/>
      <c r="E16" s="5"/>
      <c r="F16" s="5"/>
      <c r="G16" s="6">
        <v>3</v>
      </c>
      <c r="H16" s="114" t="s">
        <v>140</v>
      </c>
      <c r="I16" s="211" t="s">
        <v>122</v>
      </c>
      <c r="J16" s="11">
        <v>25</v>
      </c>
      <c r="K16" s="11">
        <v>25</v>
      </c>
      <c r="L16" s="11">
        <v>25</v>
      </c>
      <c r="M16" s="11">
        <v>35</v>
      </c>
      <c r="N16" s="11">
        <f>19+O16</f>
        <v>23</v>
      </c>
      <c r="O16" s="9">
        <f>+Z16</f>
        <v>4</v>
      </c>
      <c r="P16" s="11">
        <v>0</v>
      </c>
      <c r="Q16" s="11">
        <v>1</v>
      </c>
      <c r="R16" s="11">
        <v>3</v>
      </c>
      <c r="S16" s="11">
        <v>3</v>
      </c>
      <c r="T16" s="11">
        <v>3</v>
      </c>
      <c r="U16" s="11">
        <v>1</v>
      </c>
      <c r="V16" s="11">
        <v>3</v>
      </c>
      <c r="W16" s="11">
        <v>0</v>
      </c>
      <c r="X16" s="11">
        <v>3</v>
      </c>
      <c r="Y16" s="11">
        <v>2</v>
      </c>
      <c r="Z16" s="11">
        <v>4</v>
      </c>
      <c r="AA16" s="11">
        <v>0</v>
      </c>
      <c r="AB16" s="11"/>
      <c r="AC16" s="11"/>
      <c r="AD16" s="11"/>
      <c r="AE16" s="11"/>
      <c r="AF16" s="11"/>
      <c r="AG16" s="16"/>
      <c r="AH16" s="200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6"/>
      <c r="AT16" s="136"/>
      <c r="AU16" s="136"/>
      <c r="AV16" s="11"/>
      <c r="AW16" s="11"/>
      <c r="AX16" s="11"/>
      <c r="AY16" s="11"/>
      <c r="AZ16" s="11"/>
      <c r="BA16" s="11"/>
      <c r="BB16" s="11"/>
      <c r="BC16" s="11"/>
    </row>
    <row r="17" spans="1:55" s="115" customFormat="1" ht="27.75" thickBot="1" x14ac:dyDescent="0.3">
      <c r="A17" s="62"/>
      <c r="B17" s="63"/>
      <c r="C17" s="63"/>
      <c r="D17" s="63"/>
      <c r="E17" s="63"/>
      <c r="F17" s="63"/>
      <c r="G17" s="63">
        <v>6</v>
      </c>
      <c r="H17" s="64" t="s">
        <v>141</v>
      </c>
      <c r="I17" s="258" t="s">
        <v>122</v>
      </c>
      <c r="J17" s="15">
        <v>116</v>
      </c>
      <c r="K17" s="15">
        <v>116</v>
      </c>
      <c r="L17" s="15">
        <v>116</v>
      </c>
      <c r="M17" s="15">
        <v>66</v>
      </c>
      <c r="N17" s="15">
        <f>43+O17</f>
        <v>58</v>
      </c>
      <c r="O17" s="13">
        <f>+Z17</f>
        <v>15</v>
      </c>
      <c r="P17" s="15">
        <v>0</v>
      </c>
      <c r="Q17" s="15">
        <v>2</v>
      </c>
      <c r="R17" s="15">
        <v>1</v>
      </c>
      <c r="S17" s="15">
        <v>0</v>
      </c>
      <c r="T17" s="15">
        <v>1</v>
      </c>
      <c r="U17" s="15">
        <v>1</v>
      </c>
      <c r="V17" s="15">
        <v>0</v>
      </c>
      <c r="W17" s="15">
        <v>8</v>
      </c>
      <c r="X17" s="15">
        <v>15</v>
      </c>
      <c r="Y17" s="15">
        <v>15</v>
      </c>
      <c r="Z17" s="15">
        <v>15</v>
      </c>
      <c r="AA17" s="15">
        <v>0</v>
      </c>
      <c r="AB17" s="15"/>
      <c r="AC17" s="15"/>
      <c r="AD17" s="15"/>
      <c r="AE17" s="15"/>
      <c r="AF17" s="15"/>
      <c r="AG17" s="17"/>
      <c r="AH17" s="201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7"/>
      <c r="AT17" s="136"/>
      <c r="AU17" s="136"/>
      <c r="AV17" s="11"/>
      <c r="AW17" s="11"/>
      <c r="AX17" s="11"/>
      <c r="AY17" s="11"/>
      <c r="AZ17" s="11"/>
      <c r="BA17" s="11"/>
      <c r="BB17" s="11"/>
      <c r="BC17" s="11"/>
    </row>
    <row r="18" spans="1:55" s="94" customFormat="1" ht="13.5" x14ac:dyDescent="0.25"/>
    <row r="19" spans="1:55" s="94" customFormat="1" ht="13.5" x14ac:dyDescent="0.25"/>
    <row r="20" spans="1:55" s="94" customFormat="1" ht="13.5" x14ac:dyDescent="0.25"/>
    <row r="21" spans="1:55" s="94" customFormat="1" ht="13.5" x14ac:dyDescent="0.25"/>
    <row r="22" spans="1:55" s="94" customFormat="1" ht="13.5" x14ac:dyDescent="0.25">
      <c r="H22" s="94" t="s">
        <v>224</v>
      </c>
    </row>
    <row r="23" spans="1:55" s="94" customFormat="1" ht="13.5" x14ac:dyDescent="0.25">
      <c r="H23" s="94" t="s">
        <v>219</v>
      </c>
    </row>
    <row r="24" spans="1:55" s="94" customFormat="1" ht="13.5" x14ac:dyDescent="0.25"/>
    <row r="25" spans="1:55" s="94" customFormat="1" ht="13.5" x14ac:dyDescent="0.25"/>
    <row r="26" spans="1:55" s="94" customFormat="1" ht="13.5" x14ac:dyDescent="0.25"/>
    <row r="27" spans="1:55" s="94" customFormat="1" ht="13.5" x14ac:dyDescent="0.25"/>
    <row r="28" spans="1:55" s="94" customFormat="1" ht="13.5" x14ac:dyDescent="0.25"/>
    <row r="29" spans="1:55" s="94" customFormat="1" ht="13.5" x14ac:dyDescent="0.25"/>
    <row r="30" spans="1:55" s="94" customFormat="1" ht="13.5" x14ac:dyDescent="0.25"/>
    <row r="31" spans="1:55" s="94" customFormat="1" ht="13.5" x14ac:dyDescent="0.25"/>
    <row r="32" spans="1:55" s="94" customFormat="1" ht="13.5" x14ac:dyDescent="0.25"/>
    <row r="33" s="94" customFormat="1" ht="13.5" x14ac:dyDescent="0.25"/>
    <row r="34" s="94" customFormat="1" ht="13.5" x14ac:dyDescent="0.25"/>
    <row r="35" s="94" customFormat="1" ht="13.5" x14ac:dyDescent="0.25"/>
    <row r="36" s="94" customFormat="1" ht="13.5" x14ac:dyDescent="0.25"/>
    <row r="37" s="94" customFormat="1" ht="13.5" x14ac:dyDescent="0.25"/>
    <row r="38" s="94" customFormat="1" ht="13.5" x14ac:dyDescent="0.25"/>
    <row r="39" s="94" customFormat="1" ht="13.5" x14ac:dyDescent="0.25"/>
    <row r="40" s="94" customFormat="1" ht="13.5" x14ac:dyDescent="0.25"/>
    <row r="41" s="94" customFormat="1" ht="13.5" x14ac:dyDescent="0.25"/>
    <row r="42" s="94" customFormat="1" ht="13.5" x14ac:dyDescent="0.25"/>
    <row r="43" s="94" customFormat="1" ht="13.5" x14ac:dyDescent="0.25"/>
    <row r="44" s="94" customFormat="1" ht="13.5" x14ac:dyDescent="0.25"/>
    <row r="45" s="94" customFormat="1" ht="13.5" x14ac:dyDescent="0.25"/>
    <row r="46" s="94" customFormat="1" ht="13.5" x14ac:dyDescent="0.25"/>
    <row r="47" s="94" customFormat="1" ht="13.5" x14ac:dyDescent="0.25"/>
    <row r="48" s="94" customFormat="1" ht="13.5" x14ac:dyDescent="0.25"/>
    <row r="49" s="94" customFormat="1" ht="13.5" x14ac:dyDescent="0.25"/>
    <row r="50" s="94" customFormat="1" ht="13.5" x14ac:dyDescent="0.25"/>
    <row r="51" s="94" customFormat="1" ht="13.5" x14ac:dyDescent="0.25"/>
    <row r="52" s="94" customFormat="1" ht="13.5" x14ac:dyDescent="0.25"/>
    <row r="53" s="94" customFormat="1" ht="13.5" x14ac:dyDescent="0.25"/>
    <row r="54" s="94" customFormat="1" ht="13.5" x14ac:dyDescent="0.25"/>
    <row r="55" s="94" customFormat="1" ht="13.5" x14ac:dyDescent="0.25"/>
    <row r="56" s="94" customFormat="1" ht="13.5" x14ac:dyDescent="0.25"/>
  </sheetData>
  <mergeCells count="7">
    <mergeCell ref="AX5:AY5"/>
    <mergeCell ref="AZ5:BA5"/>
    <mergeCell ref="BB5:BC5"/>
    <mergeCell ref="A5:I5"/>
    <mergeCell ref="J5:O5"/>
    <mergeCell ref="AB5:AG5"/>
    <mergeCell ref="AV5:AW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201. DS</vt:lpstr>
      <vt:lpstr>202. DGC</vt:lpstr>
      <vt:lpstr>203. COVIAL</vt:lpstr>
      <vt:lpstr>Hoja2</vt:lpstr>
      <vt:lpstr>204. DGT</vt:lpstr>
      <vt:lpstr>205. DGAC</vt:lpstr>
      <vt:lpstr>206. UCEE</vt:lpstr>
      <vt:lpstr>207. DGRTN</vt:lpstr>
      <vt:lpstr>208. UNCOSU</vt:lpstr>
      <vt:lpstr>209. INSIVUMEH</vt:lpstr>
      <vt:lpstr>210. DGCT</vt:lpstr>
      <vt:lpstr>211. SIT</vt:lpstr>
      <vt:lpstr>212. FONDETEL</vt:lpstr>
      <vt:lpstr>214. UDEVIPO</vt:lpstr>
      <vt:lpstr>216. PROVIAL</vt:lpstr>
      <vt:lpstr>217. FSS</vt:lpstr>
      <vt:lpstr>218. FOPAVI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 Samuel Mendoza Ortega</dc:creator>
  <cp:lastModifiedBy>Jonnathan Pernillo</cp:lastModifiedBy>
  <cp:lastPrinted>2022-08-03T22:20:11Z</cp:lastPrinted>
  <dcterms:created xsi:type="dcterms:W3CDTF">2022-01-14T22:34:20Z</dcterms:created>
  <dcterms:modified xsi:type="dcterms:W3CDTF">2022-12-16T17:30:01Z</dcterms:modified>
</cp:coreProperties>
</file>