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18915" windowHeight="11385" activeTab="4"/>
  </bookViews>
  <sheets>
    <sheet name="DS" sheetId="14" r:id="rId1"/>
    <sheet name="DGC" sheetId="16" r:id="rId2"/>
    <sheet name="COVIAL" sheetId="4" r:id="rId3"/>
    <sheet name="TRANSPORTES" sheetId="1" r:id="rId4"/>
    <sheet name="DGAC" sheetId="5" r:id="rId5"/>
    <sheet name="UCEE" sheetId="17" r:id="rId6"/>
    <sheet name="TGW" sheetId="11" r:id="rId7"/>
    <sheet name="SIT" sheetId="10" r:id="rId8"/>
    <sheet name="CORREOS" sheetId="3" r:id="rId9"/>
    <sheet name="UNCOSU" sheetId="15" r:id="rId10"/>
    <sheet name="FONDETEL" sheetId="2" r:id="rId11"/>
    <sheet name="INSIVUMEH" sheetId="8" r:id="rId12"/>
    <sheet name="PROVIAL" sheetId="9" r:id="rId13"/>
    <sheet name="UDEVIPO" sheetId="12" r:id="rId14"/>
    <sheet name="FOPAVI" sheetId="6" r:id="rId15"/>
    <sheet name="FSS" sheetId="7" r:id="rId16"/>
  </sheets>
  <definedNames>
    <definedName name="_xlnm.Print_Area" localSheetId="0">DS!$A$1:$AA$155</definedName>
    <definedName name="_xlnm.Print_Titles" localSheetId="2">COVIAL!$1:$6</definedName>
    <definedName name="_xlnm.Print_Titles" localSheetId="4">DGAC!$1:$6</definedName>
    <definedName name="_xlnm.Print_Titles" localSheetId="1">DGC!$1:$6</definedName>
    <definedName name="_xlnm.Print_Titles" localSheetId="0">DS!$1:$6</definedName>
    <definedName name="_xlnm.Print_Titles" localSheetId="10">FONDETEL!$1:$6</definedName>
    <definedName name="_xlnm.Print_Titles" localSheetId="14">FOPAVI!$1:$6</definedName>
    <definedName name="_xlnm.Print_Titles" localSheetId="15">FSS!$1:$6</definedName>
    <definedName name="_xlnm.Print_Titles" localSheetId="11">INSIVUMEH!$1:$7</definedName>
    <definedName name="_xlnm.Print_Titles" localSheetId="12">PROVIAL!$1:$7</definedName>
    <definedName name="_xlnm.Print_Titles" localSheetId="7">SIT!$1:$6</definedName>
    <definedName name="_xlnm.Print_Titles" localSheetId="6">TGW!$1:$6</definedName>
    <definedName name="_xlnm.Print_Titles" localSheetId="3">TRANSPORTES!$1:$7</definedName>
    <definedName name="_xlnm.Print_Titles" localSheetId="5">UCEE!$1:$8</definedName>
    <definedName name="_xlnm.Print_Titles" localSheetId="13">UDEVIPO!$1:$6</definedName>
    <definedName name="_xlnm.Print_Titles" localSheetId="9">UNCOSU!$1:$6</definedName>
  </definedNames>
  <calcPr calcId="145621"/>
</workbook>
</file>

<file path=xl/calcChain.xml><?xml version="1.0" encoding="utf-8"?>
<calcChain xmlns="http://schemas.openxmlformats.org/spreadsheetml/2006/main">
  <c r="O164" i="14" l="1"/>
  <c r="W154" i="14"/>
  <c r="V154" i="14"/>
  <c r="U154" i="14"/>
  <c r="T154" i="14"/>
  <c r="S154" i="14"/>
  <c r="R154" i="14"/>
  <c r="Q154" i="14"/>
  <c r="O154" i="14"/>
  <c r="N154" i="14"/>
  <c r="M154" i="14"/>
  <c r="L154" i="14"/>
  <c r="K154" i="14"/>
  <c r="J154" i="14"/>
  <c r="I154" i="14"/>
  <c r="H154" i="14"/>
  <c r="G154" i="14"/>
  <c r="F154" i="14"/>
  <c r="E154" i="14"/>
  <c r="AA153" i="14"/>
  <c r="AA154" i="14" s="1"/>
  <c r="Z153" i="14"/>
  <c r="Z154" i="14" s="1"/>
  <c r="Y153" i="14"/>
  <c r="Y154" i="14" s="1"/>
  <c r="X153" i="14"/>
  <c r="X154" i="14" s="1"/>
  <c r="P145" i="14"/>
  <c r="P144" i="14"/>
  <c r="P143" i="14"/>
  <c r="P142" i="14"/>
  <c r="P141" i="14"/>
  <c r="P163" i="14" s="1"/>
  <c r="Q163" i="14" s="1"/>
  <c r="R163" i="14" s="1"/>
  <c r="P140" i="14"/>
  <c r="P139" i="14"/>
  <c r="P138" i="14"/>
  <c r="P137" i="14"/>
  <c r="P136" i="14"/>
  <c r="P135" i="14"/>
  <c r="P134" i="14"/>
  <c r="P133" i="14"/>
  <c r="P132" i="14"/>
  <c r="P162" i="14" s="1"/>
  <c r="Q162" i="14" s="1"/>
  <c r="R162" i="14" s="1"/>
  <c r="P131" i="14"/>
  <c r="P130" i="14"/>
  <c r="P129" i="14"/>
  <c r="P128" i="14"/>
  <c r="P127" i="14"/>
  <c r="P126" i="14"/>
  <c r="P125" i="14"/>
  <c r="P124" i="14"/>
  <c r="P123" i="14"/>
  <c r="P122" i="14"/>
  <c r="P121" i="14"/>
  <c r="P120" i="14"/>
  <c r="P119" i="14"/>
  <c r="P118" i="14"/>
  <c r="P117" i="14"/>
  <c r="P161" i="14" s="1"/>
  <c r="Q161" i="14" s="1"/>
  <c r="R161" i="14" s="1"/>
  <c r="P116" i="14"/>
  <c r="P115" i="14"/>
  <c r="P114" i="14"/>
  <c r="P113" i="14"/>
  <c r="P112" i="14"/>
  <c r="P111" i="14"/>
  <c r="P110" i="14"/>
  <c r="P109" i="14"/>
  <c r="P108" i="14"/>
  <c r="P107" i="14"/>
  <c r="P106" i="14"/>
  <c r="P105" i="14"/>
  <c r="P104" i="14"/>
  <c r="P103" i="14"/>
  <c r="P102" i="14"/>
  <c r="P101" i="14"/>
  <c r="P100" i="14"/>
  <c r="P99" i="14"/>
  <c r="P98" i="14"/>
  <c r="P97" i="14"/>
  <c r="P96" i="14"/>
  <c r="P95" i="14"/>
  <c r="P94" i="14"/>
  <c r="P93" i="14"/>
  <c r="P92" i="14"/>
  <c r="P91" i="14"/>
  <c r="P90" i="14"/>
  <c r="P89" i="14"/>
  <c r="P88" i="14"/>
  <c r="P87" i="14"/>
  <c r="P86" i="14"/>
  <c r="P85" i="14"/>
  <c r="P84" i="14"/>
  <c r="P83" i="14"/>
  <c r="P82" i="14"/>
  <c r="P81" i="14"/>
  <c r="P80" i="14"/>
  <c r="P79" i="14"/>
  <c r="P78" i="14"/>
  <c r="P77" i="14"/>
  <c r="P154" i="14" s="1"/>
  <c r="AA155" i="14" l="1"/>
  <c r="P160" i="14"/>
  <c r="P164" i="14" l="1"/>
  <c r="Q160" i="14"/>
  <c r="Q164" i="14" l="1"/>
  <c r="R160" i="14"/>
  <c r="R164" i="14" s="1"/>
  <c r="M145" i="1" l="1"/>
  <c r="J145" i="1"/>
  <c r="I145" i="1"/>
  <c r="H145" i="1"/>
  <c r="G145" i="1"/>
  <c r="F145" i="1"/>
  <c r="E145" i="1"/>
  <c r="M146" i="1" s="1"/>
  <c r="C145" i="1"/>
  <c r="K144" i="1"/>
  <c r="K145" i="1" s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145" i="1" s="1"/>
  <c r="L80" i="9" l="1"/>
  <c r="M23" i="3" l="1"/>
  <c r="O24" i="3" s="1"/>
  <c r="L23" i="3"/>
  <c r="K23" i="3"/>
  <c r="J23" i="3"/>
  <c r="I23" i="3"/>
  <c r="H23" i="3"/>
  <c r="G23" i="3"/>
  <c r="F23" i="3"/>
  <c r="E23" i="3"/>
  <c r="B22" i="3"/>
  <c r="T112" i="4" l="1"/>
  <c r="Z461" i="16" l="1"/>
  <c r="Y461" i="16"/>
  <c r="X461" i="16"/>
  <c r="W461" i="16"/>
  <c r="V461" i="16"/>
  <c r="U461" i="16"/>
  <c r="J461" i="16"/>
  <c r="E460" i="16"/>
  <c r="E459" i="16"/>
  <c r="E458" i="16"/>
  <c r="E457" i="16"/>
  <c r="E456" i="16"/>
  <c r="E455" i="16"/>
  <c r="E454" i="16"/>
  <c r="B453" i="16"/>
  <c r="Q452" i="16"/>
  <c r="K452" i="16"/>
  <c r="I452" i="16"/>
  <c r="E452" i="16"/>
  <c r="Q451" i="16"/>
  <c r="K451" i="16"/>
  <c r="I451" i="16"/>
  <c r="E451" i="16"/>
  <c r="Q450" i="16"/>
  <c r="K450" i="16"/>
  <c r="I450" i="16"/>
  <c r="E450" i="16"/>
  <c r="Q449" i="16"/>
  <c r="K449" i="16"/>
  <c r="I449" i="16"/>
  <c r="E449" i="16"/>
  <c r="Q448" i="16"/>
  <c r="K448" i="16"/>
  <c r="I448" i="16"/>
  <c r="E448" i="16"/>
  <c r="Q447" i="16"/>
  <c r="K447" i="16"/>
  <c r="I447" i="16"/>
  <c r="E447" i="16"/>
  <c r="Q446" i="16"/>
  <c r="K446" i="16"/>
  <c r="I446" i="16"/>
  <c r="E446" i="16"/>
  <c r="Q445" i="16"/>
  <c r="K445" i="16"/>
  <c r="I445" i="16"/>
  <c r="E445" i="16"/>
  <c r="Q444" i="16"/>
  <c r="K444" i="16"/>
  <c r="I444" i="16"/>
  <c r="E444" i="16"/>
  <c r="Q443" i="16"/>
  <c r="K443" i="16"/>
  <c r="I443" i="16"/>
  <c r="E443" i="16"/>
  <c r="Q442" i="16"/>
  <c r="K442" i="16"/>
  <c r="I442" i="16"/>
  <c r="E442" i="16"/>
  <c r="Q441" i="16"/>
  <c r="K441" i="16"/>
  <c r="I441" i="16"/>
  <c r="E441" i="16"/>
  <c r="Q440" i="16"/>
  <c r="K440" i="16"/>
  <c r="I440" i="16"/>
  <c r="E440" i="16"/>
  <c r="Q439" i="16"/>
  <c r="K439" i="16"/>
  <c r="I439" i="16"/>
  <c r="E439" i="16"/>
  <c r="Q438" i="16"/>
  <c r="K438" i="16"/>
  <c r="I438" i="16"/>
  <c r="E438" i="16"/>
  <c r="Q437" i="16"/>
  <c r="K437" i="16"/>
  <c r="I437" i="16"/>
  <c r="E437" i="16"/>
  <c r="Q436" i="16"/>
  <c r="K436" i="16"/>
  <c r="I436" i="16"/>
  <c r="E436" i="16"/>
  <c r="Q435" i="16"/>
  <c r="K435" i="16"/>
  <c r="I435" i="16"/>
  <c r="E435" i="16"/>
  <c r="Q434" i="16"/>
  <c r="K434" i="16"/>
  <c r="I434" i="16"/>
  <c r="E434" i="16"/>
  <c r="Q433" i="16"/>
  <c r="K433" i="16"/>
  <c r="I433" i="16"/>
  <c r="E433" i="16"/>
  <c r="Q432" i="16"/>
  <c r="K432" i="16"/>
  <c r="I432" i="16"/>
  <c r="E432" i="16"/>
  <c r="Q431" i="16"/>
  <c r="K431" i="16"/>
  <c r="I431" i="16"/>
  <c r="E431" i="16"/>
  <c r="Q430" i="16"/>
  <c r="K430" i="16"/>
  <c r="I430" i="16"/>
  <c r="E430" i="16"/>
  <c r="Q429" i="16"/>
  <c r="K429" i="16"/>
  <c r="I429" i="16"/>
  <c r="E429" i="16"/>
  <c r="Q428" i="16"/>
  <c r="K428" i="16"/>
  <c r="I428" i="16"/>
  <c r="E428" i="16"/>
  <c r="Q427" i="16"/>
  <c r="K427" i="16"/>
  <c r="I427" i="16"/>
  <c r="E427" i="16"/>
  <c r="Q426" i="16"/>
  <c r="K426" i="16"/>
  <c r="I426" i="16"/>
  <c r="E426" i="16"/>
  <c r="Q425" i="16"/>
  <c r="K425" i="16"/>
  <c r="I425" i="16"/>
  <c r="E425" i="16"/>
  <c r="Q424" i="16"/>
  <c r="K424" i="16"/>
  <c r="I424" i="16"/>
  <c r="E424" i="16"/>
  <c r="Q423" i="16"/>
  <c r="K423" i="16"/>
  <c r="I423" i="16"/>
  <c r="E423" i="16"/>
  <c r="Q422" i="16"/>
  <c r="K422" i="16"/>
  <c r="I422" i="16"/>
  <c r="E422" i="16"/>
  <c r="Q421" i="16"/>
  <c r="K421" i="16"/>
  <c r="I421" i="16"/>
  <c r="E421" i="16"/>
  <c r="Q420" i="16"/>
  <c r="K420" i="16"/>
  <c r="I420" i="16"/>
  <c r="E420" i="16"/>
  <c r="Q419" i="16"/>
  <c r="K419" i="16"/>
  <c r="I419" i="16"/>
  <c r="E419" i="16"/>
  <c r="Q418" i="16"/>
  <c r="K418" i="16"/>
  <c r="I418" i="16"/>
  <c r="E418" i="16"/>
  <c r="Q417" i="16"/>
  <c r="K417" i="16"/>
  <c r="I417" i="16"/>
  <c r="E417" i="16"/>
  <c r="Q416" i="16"/>
  <c r="K416" i="16"/>
  <c r="I416" i="16"/>
  <c r="E416" i="16"/>
  <c r="Q415" i="16"/>
  <c r="K415" i="16"/>
  <c r="I415" i="16"/>
  <c r="E415" i="16"/>
  <c r="Q414" i="16"/>
  <c r="K414" i="16"/>
  <c r="I414" i="16"/>
  <c r="E414" i="16"/>
  <c r="Q413" i="16"/>
  <c r="K413" i="16"/>
  <c r="I413" i="16"/>
  <c r="E413" i="16"/>
  <c r="Q412" i="16"/>
  <c r="K412" i="16"/>
  <c r="I412" i="16"/>
  <c r="E412" i="16"/>
  <c r="Q411" i="16"/>
  <c r="K411" i="16"/>
  <c r="I411" i="16"/>
  <c r="E411" i="16"/>
  <c r="Q410" i="16"/>
  <c r="K410" i="16"/>
  <c r="I410" i="16"/>
  <c r="E410" i="16"/>
  <c r="Q409" i="16"/>
  <c r="K409" i="16"/>
  <c r="I409" i="16"/>
  <c r="E409" i="16"/>
  <c r="Q408" i="16"/>
  <c r="K408" i="16"/>
  <c r="I408" i="16"/>
  <c r="E408" i="16"/>
  <c r="Q407" i="16"/>
  <c r="K407" i="16"/>
  <c r="I407" i="16"/>
  <c r="E407" i="16"/>
  <c r="Q406" i="16"/>
  <c r="K406" i="16"/>
  <c r="I406" i="16"/>
  <c r="E406" i="16"/>
  <c r="Q405" i="16"/>
  <c r="K405" i="16"/>
  <c r="I405" i="16"/>
  <c r="E405" i="16"/>
  <c r="Q404" i="16"/>
  <c r="K404" i="16"/>
  <c r="I404" i="16"/>
  <c r="E404" i="16"/>
  <c r="Q403" i="16"/>
  <c r="K403" i="16"/>
  <c r="I403" i="16"/>
  <c r="E403" i="16"/>
  <c r="Q402" i="16"/>
  <c r="K402" i="16"/>
  <c r="I402" i="16"/>
  <c r="E402" i="16"/>
  <c r="Q401" i="16"/>
  <c r="K401" i="16"/>
  <c r="I401" i="16"/>
  <c r="E401" i="16"/>
  <c r="Q400" i="16"/>
  <c r="K400" i="16"/>
  <c r="I400" i="16"/>
  <c r="E400" i="16"/>
  <c r="Q399" i="16"/>
  <c r="K399" i="16"/>
  <c r="I399" i="16"/>
  <c r="E399" i="16"/>
  <c r="Q398" i="16"/>
  <c r="K398" i="16"/>
  <c r="I398" i="16"/>
  <c r="E398" i="16"/>
  <c r="Q397" i="16"/>
  <c r="K397" i="16"/>
  <c r="I397" i="16"/>
  <c r="E397" i="16"/>
  <c r="Q396" i="16"/>
  <c r="K396" i="16"/>
  <c r="I396" i="16"/>
  <c r="E396" i="16"/>
  <c r="Q395" i="16"/>
  <c r="K395" i="16"/>
  <c r="I395" i="16"/>
  <c r="E395" i="16"/>
  <c r="Q394" i="16"/>
  <c r="K394" i="16"/>
  <c r="I394" i="16"/>
  <c r="E394" i="16"/>
  <c r="Q393" i="16"/>
  <c r="K393" i="16"/>
  <c r="I393" i="16"/>
  <c r="E393" i="16"/>
  <c r="Q392" i="16"/>
  <c r="K392" i="16"/>
  <c r="I392" i="16"/>
  <c r="E392" i="16"/>
  <c r="Q391" i="16"/>
  <c r="K391" i="16"/>
  <c r="I391" i="16"/>
  <c r="E391" i="16"/>
  <c r="Q390" i="16"/>
  <c r="K390" i="16"/>
  <c r="I390" i="16"/>
  <c r="E390" i="16"/>
  <c r="Q389" i="16"/>
  <c r="K389" i="16"/>
  <c r="I389" i="16"/>
  <c r="E389" i="16"/>
  <c r="Q388" i="16"/>
  <c r="Q461" i="16" s="1"/>
  <c r="K388" i="16"/>
  <c r="I388" i="16"/>
  <c r="E388" i="16"/>
  <c r="E387" i="16"/>
  <c r="P387" i="16" s="1"/>
  <c r="E386" i="16"/>
  <c r="P386" i="16" s="1"/>
  <c r="E385" i="16"/>
  <c r="P385" i="16" s="1"/>
  <c r="E384" i="16"/>
  <c r="P384" i="16" s="1"/>
  <c r="E383" i="16"/>
  <c r="P383" i="16" s="1"/>
  <c r="E382" i="16"/>
  <c r="P382" i="16" s="1"/>
  <c r="E381" i="16"/>
  <c r="P381" i="16" s="1"/>
  <c r="E380" i="16"/>
  <c r="P380" i="16" s="1"/>
  <c r="E379" i="16"/>
  <c r="P379" i="16" s="1"/>
  <c r="E378" i="16"/>
  <c r="P378" i="16" s="1"/>
  <c r="E377" i="16"/>
  <c r="P377" i="16" s="1"/>
  <c r="E376" i="16"/>
  <c r="P376" i="16" s="1"/>
  <c r="E375" i="16"/>
  <c r="P375" i="16" s="1"/>
  <c r="E374" i="16"/>
  <c r="P374" i="16" s="1"/>
  <c r="E373" i="16"/>
  <c r="P373" i="16" s="1"/>
  <c r="E372" i="16"/>
  <c r="P372" i="16" s="1"/>
  <c r="E371" i="16"/>
  <c r="P371" i="16" s="1"/>
  <c r="E370" i="16"/>
  <c r="P370" i="16" s="1"/>
  <c r="E369" i="16"/>
  <c r="P369" i="16" s="1"/>
  <c r="E368" i="16"/>
  <c r="P368" i="16" s="1"/>
  <c r="E367" i="16"/>
  <c r="P367" i="16" s="1"/>
  <c r="E366" i="16"/>
  <c r="P366" i="16" s="1"/>
  <c r="E365" i="16"/>
  <c r="P365" i="16" s="1"/>
  <c r="E364" i="16"/>
  <c r="P364" i="16" s="1"/>
  <c r="E363" i="16"/>
  <c r="P363" i="16" s="1"/>
  <c r="C362" i="16"/>
  <c r="E362" i="16" s="1"/>
  <c r="P362" i="16" s="1"/>
  <c r="E361" i="16"/>
  <c r="P361" i="16" s="1"/>
  <c r="E360" i="16"/>
  <c r="P360" i="16" s="1"/>
  <c r="E359" i="16"/>
  <c r="P359" i="16" s="1"/>
  <c r="E358" i="16"/>
  <c r="P358" i="16" s="1"/>
  <c r="E357" i="16"/>
  <c r="P357" i="16" s="1"/>
  <c r="E356" i="16"/>
  <c r="P356" i="16" s="1"/>
  <c r="E355" i="16"/>
  <c r="P355" i="16" s="1"/>
  <c r="E354" i="16"/>
  <c r="P354" i="16" s="1"/>
  <c r="E353" i="16"/>
  <c r="P353" i="16" s="1"/>
  <c r="E352" i="16"/>
  <c r="P352" i="16" s="1"/>
  <c r="E351" i="16"/>
  <c r="P351" i="16" s="1"/>
  <c r="E350" i="16"/>
  <c r="P350" i="16" s="1"/>
  <c r="E349" i="16"/>
  <c r="P349" i="16" s="1"/>
  <c r="C348" i="16"/>
  <c r="E348" i="16" s="1"/>
  <c r="P348" i="16" s="1"/>
  <c r="E347" i="16"/>
  <c r="P347" i="16" s="1"/>
  <c r="E346" i="16"/>
  <c r="P346" i="16" s="1"/>
  <c r="E345" i="16"/>
  <c r="P345" i="16" s="1"/>
  <c r="E344" i="16"/>
  <c r="P344" i="16" s="1"/>
  <c r="C343" i="16"/>
  <c r="E343" i="16" s="1"/>
  <c r="P343" i="16" s="1"/>
  <c r="E342" i="16"/>
  <c r="P342" i="16" s="1"/>
  <c r="C341" i="16"/>
  <c r="E341" i="16" s="1"/>
  <c r="P341" i="16" s="1"/>
  <c r="C340" i="16"/>
  <c r="E340" i="16" s="1"/>
  <c r="P340" i="16" s="1"/>
  <c r="C339" i="16"/>
  <c r="E339" i="16" s="1"/>
  <c r="P339" i="16" s="1"/>
  <c r="E338" i="16"/>
  <c r="P338" i="16" s="1"/>
  <c r="C337" i="16"/>
  <c r="E337" i="16" s="1"/>
  <c r="P337" i="16" s="1"/>
  <c r="E336" i="16"/>
  <c r="P336" i="16" s="1"/>
  <c r="C335" i="16"/>
  <c r="E335" i="16" s="1"/>
  <c r="P335" i="16" s="1"/>
  <c r="C334" i="16"/>
  <c r="E334" i="16" s="1"/>
  <c r="P334" i="16" s="1"/>
  <c r="E333" i="16"/>
  <c r="P333" i="16" s="1"/>
  <c r="E332" i="16"/>
  <c r="P332" i="16" s="1"/>
  <c r="E331" i="16"/>
  <c r="P331" i="16" s="1"/>
  <c r="E330" i="16"/>
  <c r="P330" i="16" s="1"/>
  <c r="C329" i="16"/>
  <c r="E329" i="16" s="1"/>
  <c r="P329" i="16" s="1"/>
  <c r="E328" i="16"/>
  <c r="P328" i="16" s="1"/>
  <c r="E327" i="16"/>
  <c r="P327" i="16" s="1"/>
  <c r="E326" i="16"/>
  <c r="P326" i="16" s="1"/>
  <c r="E325" i="16"/>
  <c r="P325" i="16" s="1"/>
  <c r="E324" i="16"/>
  <c r="P324" i="16" s="1"/>
  <c r="C323" i="16"/>
  <c r="E323" i="16" s="1"/>
  <c r="P323" i="16" s="1"/>
  <c r="C322" i="16"/>
  <c r="E322" i="16" s="1"/>
  <c r="P322" i="16" s="1"/>
  <c r="E321" i="16"/>
  <c r="P321" i="16" s="1"/>
  <c r="E320" i="16"/>
  <c r="P320" i="16" s="1"/>
  <c r="E319" i="16"/>
  <c r="P319" i="16" s="1"/>
  <c r="E318" i="16"/>
  <c r="P318" i="16" s="1"/>
  <c r="E317" i="16"/>
  <c r="P317" i="16" s="1"/>
  <c r="C316" i="16"/>
  <c r="E316" i="16" s="1"/>
  <c r="P316" i="16" s="1"/>
  <c r="E315" i="16"/>
  <c r="P315" i="16" s="1"/>
  <c r="E314" i="16"/>
  <c r="P314" i="16" s="1"/>
  <c r="E313" i="16"/>
  <c r="P313" i="16" s="1"/>
  <c r="E312" i="16"/>
  <c r="P312" i="16" s="1"/>
  <c r="E311" i="16"/>
  <c r="P311" i="16" s="1"/>
  <c r="C310" i="16"/>
  <c r="E310" i="16" s="1"/>
  <c r="P310" i="16" s="1"/>
  <c r="E309" i="16"/>
  <c r="P309" i="16" s="1"/>
  <c r="E308" i="16"/>
  <c r="P308" i="16" s="1"/>
  <c r="E307" i="16"/>
  <c r="P307" i="16" s="1"/>
  <c r="E306" i="16"/>
  <c r="P306" i="16" s="1"/>
  <c r="E305" i="16"/>
  <c r="P305" i="16" s="1"/>
  <c r="E304" i="16"/>
  <c r="P304" i="16" s="1"/>
  <c r="E303" i="16"/>
  <c r="P303" i="16" s="1"/>
  <c r="E302" i="16"/>
  <c r="P302" i="16" s="1"/>
  <c r="C301" i="16"/>
  <c r="E301" i="16" s="1"/>
  <c r="P301" i="16" s="1"/>
  <c r="E300" i="16"/>
  <c r="P300" i="16" s="1"/>
  <c r="E299" i="16"/>
  <c r="P299" i="16" s="1"/>
  <c r="E298" i="16"/>
  <c r="P298" i="16" s="1"/>
  <c r="E297" i="16"/>
  <c r="P297" i="16" s="1"/>
  <c r="E296" i="16"/>
  <c r="P296" i="16" s="1"/>
  <c r="E295" i="16"/>
  <c r="P295" i="16" s="1"/>
  <c r="E294" i="16"/>
  <c r="P294" i="16" s="1"/>
  <c r="C293" i="16"/>
  <c r="E293" i="16" s="1"/>
  <c r="P293" i="16" s="1"/>
  <c r="E292" i="16"/>
  <c r="P292" i="16" s="1"/>
  <c r="E291" i="16"/>
  <c r="P291" i="16" s="1"/>
  <c r="E290" i="16"/>
  <c r="P290" i="16" s="1"/>
  <c r="E289" i="16"/>
  <c r="P289" i="16" s="1"/>
  <c r="E288" i="16"/>
  <c r="P288" i="16" s="1"/>
  <c r="E287" i="16"/>
  <c r="P287" i="16" s="1"/>
  <c r="E286" i="16"/>
  <c r="P286" i="16" s="1"/>
  <c r="E285" i="16"/>
  <c r="P285" i="16" s="1"/>
  <c r="E284" i="16"/>
  <c r="P284" i="16" s="1"/>
  <c r="E283" i="16"/>
  <c r="P283" i="16" s="1"/>
  <c r="E282" i="16"/>
  <c r="P282" i="16" s="1"/>
  <c r="E281" i="16"/>
  <c r="P281" i="16" s="1"/>
  <c r="E280" i="16"/>
  <c r="P280" i="16" s="1"/>
  <c r="E279" i="16"/>
  <c r="P279" i="16" s="1"/>
  <c r="C278" i="16"/>
  <c r="E278" i="16" s="1"/>
  <c r="P278" i="16" s="1"/>
  <c r="E277" i="16"/>
  <c r="P277" i="16" s="1"/>
  <c r="E276" i="16"/>
  <c r="P276" i="16" s="1"/>
  <c r="T275" i="16"/>
  <c r="S275" i="16"/>
  <c r="O275" i="16"/>
  <c r="N275" i="16"/>
  <c r="E275" i="16"/>
  <c r="M275" i="16" s="1"/>
  <c r="T274" i="16"/>
  <c r="S274" i="16"/>
  <c r="O274" i="16"/>
  <c r="N274" i="16"/>
  <c r="E274" i="16"/>
  <c r="M274" i="16" s="1"/>
  <c r="E273" i="16"/>
  <c r="M273" i="16" s="1"/>
  <c r="E272" i="16"/>
  <c r="M272" i="16" s="1"/>
  <c r="E271" i="16"/>
  <c r="M271" i="16" s="1"/>
  <c r="T270" i="16"/>
  <c r="S270" i="16"/>
  <c r="O270" i="16"/>
  <c r="N270" i="16"/>
  <c r="E270" i="16"/>
  <c r="M270" i="16" s="1"/>
  <c r="E269" i="16"/>
  <c r="M269" i="16" s="1"/>
  <c r="E268" i="16"/>
  <c r="M268" i="16" s="1"/>
  <c r="E267" i="16"/>
  <c r="M267" i="16" s="1"/>
  <c r="E266" i="16"/>
  <c r="M266" i="16" s="1"/>
  <c r="E265" i="16"/>
  <c r="M265" i="16" s="1"/>
  <c r="T264" i="16"/>
  <c r="S264" i="16"/>
  <c r="O264" i="16"/>
  <c r="N264" i="16"/>
  <c r="E264" i="16"/>
  <c r="M264" i="16" s="1"/>
  <c r="E263" i="16"/>
  <c r="M263" i="16" s="1"/>
  <c r="E262" i="16"/>
  <c r="M262" i="16" s="1"/>
  <c r="E261" i="16"/>
  <c r="M261" i="16" s="1"/>
  <c r="E260" i="16"/>
  <c r="M260" i="16" s="1"/>
  <c r="E259" i="16"/>
  <c r="M259" i="16" s="1"/>
  <c r="E258" i="16"/>
  <c r="M258" i="16" s="1"/>
  <c r="T257" i="16"/>
  <c r="S257" i="16"/>
  <c r="O257" i="16"/>
  <c r="N257" i="16"/>
  <c r="E257" i="16"/>
  <c r="M257" i="16" s="1"/>
  <c r="E256" i="16"/>
  <c r="M256" i="16" s="1"/>
  <c r="E255" i="16"/>
  <c r="M255" i="16" s="1"/>
  <c r="E254" i="16"/>
  <c r="M254" i="16" s="1"/>
  <c r="E253" i="16"/>
  <c r="M253" i="16" s="1"/>
  <c r="E252" i="16"/>
  <c r="M252" i="16" s="1"/>
  <c r="E251" i="16"/>
  <c r="M251" i="16" s="1"/>
  <c r="E250" i="16"/>
  <c r="M250" i="16" s="1"/>
  <c r="E249" i="16"/>
  <c r="M249" i="16" s="1"/>
  <c r="E248" i="16"/>
  <c r="M248" i="16" s="1"/>
  <c r="E247" i="16"/>
  <c r="M247" i="16" s="1"/>
  <c r="E246" i="16"/>
  <c r="M246" i="16" s="1"/>
  <c r="E245" i="16"/>
  <c r="M245" i="16" s="1"/>
  <c r="E244" i="16"/>
  <c r="M244" i="16" s="1"/>
  <c r="E243" i="16"/>
  <c r="M243" i="16" s="1"/>
  <c r="E242" i="16"/>
  <c r="L242" i="16" s="1"/>
  <c r="E241" i="16"/>
  <c r="L241" i="16" s="1"/>
  <c r="E240" i="16"/>
  <c r="L240" i="16" s="1"/>
  <c r="E239" i="16"/>
  <c r="L239" i="16" s="1"/>
  <c r="E238" i="16"/>
  <c r="L238" i="16" s="1"/>
  <c r="S237" i="16"/>
  <c r="T237" i="16" s="1"/>
  <c r="B237" i="16"/>
  <c r="S236" i="16"/>
  <c r="T236" i="16" s="1"/>
  <c r="R236" i="16"/>
  <c r="K236" i="16"/>
  <c r="I236" i="16"/>
  <c r="H236" i="16"/>
  <c r="G236" i="16"/>
  <c r="S235" i="16"/>
  <c r="T235" i="16" s="1"/>
  <c r="R235" i="16"/>
  <c r="K235" i="16"/>
  <c r="I235" i="16"/>
  <c r="H235" i="16"/>
  <c r="G235" i="16"/>
  <c r="S234" i="16"/>
  <c r="T234" i="16" s="1"/>
  <c r="R234" i="16"/>
  <c r="K234" i="16"/>
  <c r="I234" i="16"/>
  <c r="H234" i="16"/>
  <c r="G234" i="16"/>
  <c r="S233" i="16"/>
  <c r="T233" i="16" s="1"/>
  <c r="R233" i="16"/>
  <c r="K233" i="16"/>
  <c r="I233" i="16"/>
  <c r="H233" i="16"/>
  <c r="G233" i="16"/>
  <c r="S232" i="16"/>
  <c r="T232" i="16" s="1"/>
  <c r="R232" i="16"/>
  <c r="K232" i="16"/>
  <c r="I232" i="16"/>
  <c r="H232" i="16"/>
  <c r="G232" i="16"/>
  <c r="S231" i="16"/>
  <c r="T231" i="16" s="1"/>
  <c r="R231" i="16"/>
  <c r="K231" i="16"/>
  <c r="I231" i="16"/>
  <c r="H231" i="16"/>
  <c r="G231" i="16"/>
  <c r="S230" i="16"/>
  <c r="T230" i="16" s="1"/>
  <c r="R230" i="16"/>
  <c r="K230" i="16"/>
  <c r="I230" i="16"/>
  <c r="H230" i="16"/>
  <c r="G230" i="16"/>
  <c r="S229" i="16"/>
  <c r="T229" i="16" s="1"/>
  <c r="R229" i="16"/>
  <c r="K229" i="16"/>
  <c r="I229" i="16"/>
  <c r="H229" i="16"/>
  <c r="G229" i="16"/>
  <c r="S228" i="16"/>
  <c r="T228" i="16" s="1"/>
  <c r="R228" i="16"/>
  <c r="K228" i="16"/>
  <c r="I228" i="16"/>
  <c r="H228" i="16"/>
  <c r="G228" i="16"/>
  <c r="S227" i="16"/>
  <c r="T227" i="16" s="1"/>
  <c r="R227" i="16"/>
  <c r="K227" i="16"/>
  <c r="I227" i="16"/>
  <c r="H227" i="16"/>
  <c r="G227" i="16"/>
  <c r="S226" i="16"/>
  <c r="T226" i="16" s="1"/>
  <c r="R226" i="16"/>
  <c r="K226" i="16"/>
  <c r="I226" i="16"/>
  <c r="H226" i="16"/>
  <c r="G226" i="16"/>
  <c r="S225" i="16"/>
  <c r="T225" i="16" s="1"/>
  <c r="R225" i="16"/>
  <c r="K225" i="16"/>
  <c r="I225" i="16"/>
  <c r="H225" i="16"/>
  <c r="G225" i="16"/>
  <c r="S224" i="16"/>
  <c r="T224" i="16" s="1"/>
  <c r="R224" i="16"/>
  <c r="K224" i="16"/>
  <c r="I224" i="16"/>
  <c r="H224" i="16"/>
  <c r="G224" i="16"/>
  <c r="S223" i="16"/>
  <c r="T223" i="16" s="1"/>
  <c r="R223" i="16"/>
  <c r="K223" i="16"/>
  <c r="I223" i="16"/>
  <c r="H223" i="16"/>
  <c r="G223" i="16"/>
  <c r="S222" i="16"/>
  <c r="T222" i="16" s="1"/>
  <c r="R222" i="16"/>
  <c r="K222" i="16"/>
  <c r="I222" i="16"/>
  <c r="H222" i="16"/>
  <c r="G222" i="16"/>
  <c r="S221" i="16"/>
  <c r="T221" i="16" s="1"/>
  <c r="R221" i="16"/>
  <c r="K221" i="16"/>
  <c r="I221" i="16"/>
  <c r="H221" i="16"/>
  <c r="G221" i="16"/>
  <c r="S220" i="16"/>
  <c r="T220" i="16" s="1"/>
  <c r="R220" i="16"/>
  <c r="K220" i="16"/>
  <c r="I220" i="16"/>
  <c r="H220" i="16"/>
  <c r="G220" i="16"/>
  <c r="S219" i="16"/>
  <c r="T219" i="16" s="1"/>
  <c r="R219" i="16"/>
  <c r="K219" i="16"/>
  <c r="I219" i="16"/>
  <c r="H219" i="16"/>
  <c r="G219" i="16"/>
  <c r="S218" i="16"/>
  <c r="T218" i="16" s="1"/>
  <c r="R218" i="16"/>
  <c r="K218" i="16"/>
  <c r="I218" i="16"/>
  <c r="H218" i="16"/>
  <c r="G218" i="16"/>
  <c r="S217" i="16"/>
  <c r="T217" i="16" s="1"/>
  <c r="R217" i="16"/>
  <c r="K217" i="16"/>
  <c r="I217" i="16"/>
  <c r="H217" i="16"/>
  <c r="G217" i="16"/>
  <c r="S216" i="16"/>
  <c r="T216" i="16" s="1"/>
  <c r="R216" i="16"/>
  <c r="K216" i="16"/>
  <c r="I216" i="16"/>
  <c r="H216" i="16"/>
  <c r="G216" i="16"/>
  <c r="S215" i="16"/>
  <c r="T215" i="16" s="1"/>
  <c r="R215" i="16"/>
  <c r="K215" i="16"/>
  <c r="I215" i="16"/>
  <c r="H215" i="16"/>
  <c r="G215" i="16"/>
  <c r="S214" i="16"/>
  <c r="T214" i="16" s="1"/>
  <c r="R214" i="16"/>
  <c r="K214" i="16"/>
  <c r="I214" i="16"/>
  <c r="H214" i="16"/>
  <c r="G214" i="16"/>
  <c r="S213" i="16"/>
  <c r="T213" i="16" s="1"/>
  <c r="R213" i="16"/>
  <c r="K213" i="16"/>
  <c r="I213" i="16"/>
  <c r="H213" i="16"/>
  <c r="G213" i="16"/>
  <c r="S212" i="16"/>
  <c r="T212" i="16" s="1"/>
  <c r="R212" i="16"/>
  <c r="K212" i="16"/>
  <c r="I212" i="16"/>
  <c r="H212" i="16"/>
  <c r="G212" i="16"/>
  <c r="S211" i="16"/>
  <c r="T211" i="16" s="1"/>
  <c r="R211" i="16"/>
  <c r="K211" i="16"/>
  <c r="I211" i="16"/>
  <c r="H211" i="16"/>
  <c r="G211" i="16"/>
  <c r="S210" i="16"/>
  <c r="T210" i="16" s="1"/>
  <c r="R210" i="16"/>
  <c r="K210" i="16"/>
  <c r="I210" i="16"/>
  <c r="H210" i="16"/>
  <c r="G210" i="16"/>
  <c r="S209" i="16"/>
  <c r="T209" i="16" s="1"/>
  <c r="R209" i="16"/>
  <c r="K209" i="16"/>
  <c r="I209" i="16"/>
  <c r="H209" i="16"/>
  <c r="G209" i="16"/>
  <c r="S208" i="16"/>
  <c r="T208" i="16" s="1"/>
  <c r="R208" i="16"/>
  <c r="K208" i="16"/>
  <c r="I208" i="16"/>
  <c r="H208" i="16"/>
  <c r="G208" i="16"/>
  <c r="S207" i="16"/>
  <c r="T207" i="16" s="1"/>
  <c r="R207" i="16"/>
  <c r="K207" i="16"/>
  <c r="I207" i="16"/>
  <c r="H207" i="16"/>
  <c r="G207" i="16"/>
  <c r="S206" i="16"/>
  <c r="T206" i="16" s="1"/>
  <c r="R206" i="16"/>
  <c r="K206" i="16"/>
  <c r="I206" i="16"/>
  <c r="H206" i="16"/>
  <c r="G206" i="16"/>
  <c r="S205" i="16"/>
  <c r="T205" i="16" s="1"/>
  <c r="R205" i="16"/>
  <c r="K205" i="16"/>
  <c r="I205" i="16"/>
  <c r="H205" i="16"/>
  <c r="G205" i="16"/>
  <c r="S204" i="16"/>
  <c r="T204" i="16" s="1"/>
  <c r="R204" i="16"/>
  <c r="K204" i="16"/>
  <c r="I204" i="16"/>
  <c r="H204" i="16"/>
  <c r="G204" i="16"/>
  <c r="S203" i="16"/>
  <c r="T203" i="16" s="1"/>
  <c r="R203" i="16"/>
  <c r="K203" i="16"/>
  <c r="I203" i="16"/>
  <c r="H203" i="16"/>
  <c r="G203" i="16"/>
  <c r="S202" i="16"/>
  <c r="T202" i="16" s="1"/>
  <c r="R202" i="16"/>
  <c r="K202" i="16"/>
  <c r="I202" i="16"/>
  <c r="H202" i="16"/>
  <c r="G202" i="16"/>
  <c r="S201" i="16"/>
  <c r="T201" i="16" s="1"/>
  <c r="R201" i="16"/>
  <c r="K201" i="16"/>
  <c r="I201" i="16"/>
  <c r="H201" i="16"/>
  <c r="G201" i="16"/>
  <c r="S200" i="16"/>
  <c r="T200" i="16" s="1"/>
  <c r="R200" i="16"/>
  <c r="K200" i="16"/>
  <c r="I200" i="16"/>
  <c r="H200" i="16"/>
  <c r="G200" i="16"/>
  <c r="S199" i="16"/>
  <c r="T199" i="16" s="1"/>
  <c r="R199" i="16"/>
  <c r="K199" i="16"/>
  <c r="I199" i="16"/>
  <c r="H199" i="16"/>
  <c r="G199" i="16"/>
  <c r="S198" i="16"/>
  <c r="T198" i="16" s="1"/>
  <c r="R198" i="16"/>
  <c r="K198" i="16"/>
  <c r="I198" i="16"/>
  <c r="H198" i="16"/>
  <c r="G198" i="16"/>
  <c r="S197" i="16"/>
  <c r="T197" i="16" s="1"/>
  <c r="R197" i="16"/>
  <c r="K197" i="16"/>
  <c r="I197" i="16"/>
  <c r="H197" i="16"/>
  <c r="G197" i="16"/>
  <c r="S196" i="16"/>
  <c r="T196" i="16" s="1"/>
  <c r="R196" i="16"/>
  <c r="K196" i="16"/>
  <c r="I196" i="16"/>
  <c r="H196" i="16"/>
  <c r="G196" i="16"/>
  <c r="S195" i="16"/>
  <c r="T195" i="16" s="1"/>
  <c r="R195" i="16"/>
  <c r="K195" i="16"/>
  <c r="I195" i="16"/>
  <c r="H195" i="16"/>
  <c r="G195" i="16"/>
  <c r="S194" i="16"/>
  <c r="T194" i="16" s="1"/>
  <c r="R194" i="16"/>
  <c r="K194" i="16"/>
  <c r="I194" i="16"/>
  <c r="H194" i="16"/>
  <c r="G194" i="16"/>
  <c r="S193" i="16"/>
  <c r="T193" i="16" s="1"/>
  <c r="R193" i="16"/>
  <c r="K193" i="16"/>
  <c r="I193" i="16"/>
  <c r="H193" i="16"/>
  <c r="G193" i="16"/>
  <c r="S192" i="16"/>
  <c r="T192" i="16" s="1"/>
  <c r="R192" i="16"/>
  <c r="K192" i="16"/>
  <c r="I192" i="16"/>
  <c r="H192" i="16"/>
  <c r="G192" i="16"/>
  <c r="S191" i="16"/>
  <c r="T191" i="16" s="1"/>
  <c r="R191" i="16"/>
  <c r="K191" i="16"/>
  <c r="I191" i="16"/>
  <c r="H191" i="16"/>
  <c r="G191" i="16"/>
  <c r="S190" i="16"/>
  <c r="T190" i="16" s="1"/>
  <c r="R190" i="16"/>
  <c r="K190" i="16"/>
  <c r="I190" i="16"/>
  <c r="H190" i="16"/>
  <c r="G190" i="16"/>
  <c r="S189" i="16"/>
  <c r="T189" i="16" s="1"/>
  <c r="R189" i="16"/>
  <c r="K189" i="16"/>
  <c r="I189" i="16"/>
  <c r="H189" i="16"/>
  <c r="G189" i="16"/>
  <c r="S188" i="16"/>
  <c r="T188" i="16" s="1"/>
  <c r="R188" i="16"/>
  <c r="K188" i="16"/>
  <c r="I188" i="16"/>
  <c r="H188" i="16"/>
  <c r="G188" i="16"/>
  <c r="S187" i="16"/>
  <c r="T187" i="16" s="1"/>
  <c r="R187" i="16"/>
  <c r="K187" i="16"/>
  <c r="I187" i="16"/>
  <c r="H187" i="16"/>
  <c r="G187" i="16"/>
  <c r="S186" i="16"/>
  <c r="T186" i="16" s="1"/>
  <c r="R186" i="16"/>
  <c r="K186" i="16"/>
  <c r="I186" i="16"/>
  <c r="H186" i="16"/>
  <c r="G186" i="16"/>
  <c r="S185" i="16"/>
  <c r="T185" i="16" s="1"/>
  <c r="R185" i="16"/>
  <c r="K185" i="16"/>
  <c r="I185" i="16"/>
  <c r="H185" i="16"/>
  <c r="G185" i="16"/>
  <c r="S184" i="16"/>
  <c r="T184" i="16" s="1"/>
  <c r="R184" i="16"/>
  <c r="K184" i="16"/>
  <c r="I184" i="16"/>
  <c r="H184" i="16"/>
  <c r="G184" i="16"/>
  <c r="S183" i="16"/>
  <c r="T183" i="16" s="1"/>
  <c r="R183" i="16"/>
  <c r="K183" i="16"/>
  <c r="I183" i="16"/>
  <c r="H183" i="16"/>
  <c r="G183" i="16"/>
  <c r="S182" i="16"/>
  <c r="T182" i="16" s="1"/>
  <c r="R182" i="16"/>
  <c r="K182" i="16"/>
  <c r="I182" i="16"/>
  <c r="H182" i="16"/>
  <c r="G182" i="16"/>
  <c r="S181" i="16"/>
  <c r="T181" i="16" s="1"/>
  <c r="R181" i="16"/>
  <c r="K181" i="16"/>
  <c r="I181" i="16"/>
  <c r="H181" i="16"/>
  <c r="G181" i="16"/>
  <c r="S180" i="16"/>
  <c r="T180" i="16" s="1"/>
  <c r="R180" i="16"/>
  <c r="K180" i="16"/>
  <c r="I180" i="16"/>
  <c r="H180" i="16"/>
  <c r="G180" i="16"/>
  <c r="S179" i="16"/>
  <c r="T179" i="16" s="1"/>
  <c r="R179" i="16"/>
  <c r="K179" i="16"/>
  <c r="I179" i="16"/>
  <c r="H179" i="16"/>
  <c r="G179" i="16"/>
  <c r="S178" i="16"/>
  <c r="T178" i="16" s="1"/>
  <c r="R178" i="16"/>
  <c r="K178" i="16"/>
  <c r="I178" i="16"/>
  <c r="H178" i="16"/>
  <c r="G178" i="16"/>
  <c r="S177" i="16"/>
  <c r="T177" i="16" s="1"/>
  <c r="R177" i="16"/>
  <c r="K177" i="16"/>
  <c r="I177" i="16"/>
  <c r="H177" i="16"/>
  <c r="G177" i="16"/>
  <c r="S176" i="16"/>
  <c r="T176" i="16" s="1"/>
  <c r="R176" i="16"/>
  <c r="K176" i="16"/>
  <c r="I176" i="16"/>
  <c r="H176" i="16"/>
  <c r="G176" i="16"/>
  <c r="S175" i="16"/>
  <c r="T175" i="16" s="1"/>
  <c r="R175" i="16"/>
  <c r="K175" i="16"/>
  <c r="I175" i="16"/>
  <c r="H175" i="16"/>
  <c r="G175" i="16"/>
  <c r="S174" i="16"/>
  <c r="T174" i="16" s="1"/>
  <c r="R174" i="16"/>
  <c r="K174" i="16"/>
  <c r="I174" i="16"/>
  <c r="H174" i="16"/>
  <c r="G174" i="16"/>
  <c r="S173" i="16"/>
  <c r="T173" i="16" s="1"/>
  <c r="R173" i="16"/>
  <c r="K173" i="16"/>
  <c r="I173" i="16"/>
  <c r="H173" i="16"/>
  <c r="G173" i="16"/>
  <c r="S172" i="16"/>
  <c r="T172" i="16" s="1"/>
  <c r="R172" i="16"/>
  <c r="K172" i="16"/>
  <c r="I172" i="16"/>
  <c r="H172" i="16"/>
  <c r="G172" i="16"/>
  <c r="S171" i="16"/>
  <c r="T171" i="16" s="1"/>
  <c r="R171" i="16"/>
  <c r="K171" i="16"/>
  <c r="I171" i="16"/>
  <c r="H171" i="16"/>
  <c r="G171" i="16"/>
  <c r="S170" i="16"/>
  <c r="T170" i="16" s="1"/>
  <c r="R170" i="16"/>
  <c r="K170" i="16"/>
  <c r="I170" i="16"/>
  <c r="H170" i="16"/>
  <c r="G170" i="16"/>
  <c r="S169" i="16"/>
  <c r="T169" i="16" s="1"/>
  <c r="R169" i="16"/>
  <c r="K169" i="16"/>
  <c r="I169" i="16"/>
  <c r="H169" i="16"/>
  <c r="G169" i="16"/>
  <c r="S168" i="16"/>
  <c r="T168" i="16" s="1"/>
  <c r="R168" i="16"/>
  <c r="K168" i="16"/>
  <c r="I168" i="16"/>
  <c r="H168" i="16"/>
  <c r="G168" i="16"/>
  <c r="S167" i="16"/>
  <c r="T167" i="16" s="1"/>
  <c r="R167" i="16"/>
  <c r="K167" i="16"/>
  <c r="I167" i="16"/>
  <c r="H167" i="16"/>
  <c r="G167" i="16"/>
  <c r="S166" i="16"/>
  <c r="T166" i="16" s="1"/>
  <c r="R166" i="16"/>
  <c r="K166" i="16"/>
  <c r="I166" i="16"/>
  <c r="H166" i="16"/>
  <c r="G166" i="16"/>
  <c r="T165" i="16"/>
  <c r="S165" i="16"/>
  <c r="R165" i="16"/>
  <c r="K165" i="16"/>
  <c r="I165" i="16"/>
  <c r="H165" i="16"/>
  <c r="G165" i="16"/>
  <c r="S164" i="16"/>
  <c r="T164" i="16" s="1"/>
  <c r="R164" i="16"/>
  <c r="K164" i="16"/>
  <c r="I164" i="16"/>
  <c r="H164" i="16"/>
  <c r="G164" i="16"/>
  <c r="S163" i="16"/>
  <c r="T163" i="16" s="1"/>
  <c r="R163" i="16"/>
  <c r="K163" i="16"/>
  <c r="I163" i="16"/>
  <c r="H163" i="16"/>
  <c r="G163" i="16"/>
  <c r="S162" i="16"/>
  <c r="T162" i="16" s="1"/>
  <c r="R162" i="16"/>
  <c r="K162" i="16"/>
  <c r="I162" i="16"/>
  <c r="H162" i="16"/>
  <c r="G162" i="16"/>
  <c r="S161" i="16"/>
  <c r="T161" i="16" s="1"/>
  <c r="R161" i="16"/>
  <c r="K161" i="16"/>
  <c r="I161" i="16"/>
  <c r="H161" i="16"/>
  <c r="G161" i="16"/>
  <c r="S160" i="16"/>
  <c r="T160" i="16" s="1"/>
  <c r="R160" i="16"/>
  <c r="K160" i="16"/>
  <c r="I160" i="16"/>
  <c r="H160" i="16"/>
  <c r="G160" i="16"/>
  <c r="S159" i="16"/>
  <c r="T159" i="16" s="1"/>
  <c r="R159" i="16"/>
  <c r="K159" i="16"/>
  <c r="I159" i="16"/>
  <c r="H159" i="16"/>
  <c r="G159" i="16"/>
  <c r="S158" i="16"/>
  <c r="T158" i="16" s="1"/>
  <c r="R158" i="16"/>
  <c r="K158" i="16"/>
  <c r="I158" i="16"/>
  <c r="H158" i="16"/>
  <c r="G158" i="16"/>
  <c r="S157" i="16"/>
  <c r="T157" i="16" s="1"/>
  <c r="R157" i="16"/>
  <c r="K157" i="16"/>
  <c r="I157" i="16"/>
  <c r="H157" i="16"/>
  <c r="G157" i="16"/>
  <c r="S156" i="16"/>
  <c r="T156" i="16" s="1"/>
  <c r="R156" i="16"/>
  <c r="K156" i="16"/>
  <c r="I156" i="16"/>
  <c r="H156" i="16"/>
  <c r="G156" i="16"/>
  <c r="S155" i="16"/>
  <c r="T155" i="16" s="1"/>
  <c r="R155" i="16"/>
  <c r="K155" i="16"/>
  <c r="I155" i="16"/>
  <c r="H155" i="16"/>
  <c r="G155" i="16"/>
  <c r="S154" i="16"/>
  <c r="T154" i="16" s="1"/>
  <c r="R154" i="16"/>
  <c r="K154" i="16"/>
  <c r="I154" i="16"/>
  <c r="H154" i="16"/>
  <c r="G154" i="16"/>
  <c r="S153" i="16"/>
  <c r="T153" i="16" s="1"/>
  <c r="R153" i="16"/>
  <c r="K153" i="16"/>
  <c r="I153" i="16"/>
  <c r="H153" i="16"/>
  <c r="G153" i="16"/>
  <c r="S152" i="16"/>
  <c r="T152" i="16" s="1"/>
  <c r="R152" i="16"/>
  <c r="K152" i="16"/>
  <c r="I152" i="16"/>
  <c r="H152" i="16"/>
  <c r="G152" i="16"/>
  <c r="S151" i="16"/>
  <c r="T151" i="16" s="1"/>
  <c r="R151" i="16"/>
  <c r="K151" i="16"/>
  <c r="I151" i="16"/>
  <c r="H151" i="16"/>
  <c r="G151" i="16"/>
  <c r="S150" i="16"/>
  <c r="T150" i="16" s="1"/>
  <c r="R150" i="16"/>
  <c r="K150" i="16"/>
  <c r="I150" i="16"/>
  <c r="H150" i="16"/>
  <c r="G150" i="16"/>
  <c r="S149" i="16"/>
  <c r="T149" i="16" s="1"/>
  <c r="R149" i="16"/>
  <c r="K149" i="16"/>
  <c r="I149" i="16"/>
  <c r="H149" i="16"/>
  <c r="G149" i="16"/>
  <c r="S148" i="16"/>
  <c r="T148" i="16" s="1"/>
  <c r="R148" i="16"/>
  <c r="K148" i="16"/>
  <c r="I148" i="16"/>
  <c r="H148" i="16"/>
  <c r="G148" i="16"/>
  <c r="S147" i="16"/>
  <c r="T147" i="16" s="1"/>
  <c r="R147" i="16"/>
  <c r="K147" i="16"/>
  <c r="I147" i="16"/>
  <c r="H147" i="16"/>
  <c r="G147" i="16"/>
  <c r="S146" i="16"/>
  <c r="T146" i="16" s="1"/>
  <c r="R146" i="16"/>
  <c r="K146" i="16"/>
  <c r="I146" i="16"/>
  <c r="H146" i="16"/>
  <c r="G146" i="16"/>
  <c r="S145" i="16"/>
  <c r="T145" i="16" s="1"/>
  <c r="R145" i="16"/>
  <c r="K145" i="16"/>
  <c r="I145" i="16"/>
  <c r="H145" i="16"/>
  <c r="G145" i="16"/>
  <c r="S144" i="16"/>
  <c r="T144" i="16" s="1"/>
  <c r="R144" i="16"/>
  <c r="K144" i="16"/>
  <c r="I144" i="16"/>
  <c r="H144" i="16"/>
  <c r="G144" i="16"/>
  <c r="S143" i="16"/>
  <c r="T143" i="16" s="1"/>
  <c r="R143" i="16"/>
  <c r="K143" i="16"/>
  <c r="I143" i="16"/>
  <c r="H143" i="16"/>
  <c r="G143" i="16"/>
  <c r="S142" i="16"/>
  <c r="T142" i="16" s="1"/>
  <c r="R142" i="16"/>
  <c r="K142" i="16"/>
  <c r="I142" i="16"/>
  <c r="H142" i="16"/>
  <c r="G142" i="16"/>
  <c r="S141" i="16"/>
  <c r="T141" i="16" s="1"/>
  <c r="R141" i="16"/>
  <c r="K141" i="16"/>
  <c r="I141" i="16"/>
  <c r="H141" i="16"/>
  <c r="G141" i="16"/>
  <c r="S140" i="16"/>
  <c r="T140" i="16" s="1"/>
  <c r="R140" i="16"/>
  <c r="K140" i="16"/>
  <c r="I140" i="16"/>
  <c r="H140" i="16"/>
  <c r="G140" i="16"/>
  <c r="S139" i="16"/>
  <c r="T139" i="16" s="1"/>
  <c r="R139" i="16"/>
  <c r="K139" i="16"/>
  <c r="I139" i="16"/>
  <c r="H139" i="16"/>
  <c r="G139" i="16"/>
  <c r="S138" i="16"/>
  <c r="T138" i="16" s="1"/>
  <c r="R138" i="16"/>
  <c r="K138" i="16"/>
  <c r="I138" i="16"/>
  <c r="H138" i="16"/>
  <c r="G138" i="16"/>
  <c r="S137" i="16"/>
  <c r="T137" i="16" s="1"/>
  <c r="R137" i="16"/>
  <c r="K137" i="16"/>
  <c r="I137" i="16"/>
  <c r="H137" i="16"/>
  <c r="G137" i="16"/>
  <c r="S136" i="16"/>
  <c r="T136" i="16" s="1"/>
  <c r="R136" i="16"/>
  <c r="K136" i="16"/>
  <c r="I136" i="16"/>
  <c r="H136" i="16"/>
  <c r="G136" i="16"/>
  <c r="S135" i="16"/>
  <c r="T135" i="16" s="1"/>
  <c r="R135" i="16"/>
  <c r="K135" i="16"/>
  <c r="I135" i="16"/>
  <c r="H135" i="16"/>
  <c r="G135" i="16"/>
  <c r="S134" i="16"/>
  <c r="T134" i="16" s="1"/>
  <c r="R134" i="16"/>
  <c r="K134" i="16"/>
  <c r="I134" i="16"/>
  <c r="H134" i="16"/>
  <c r="G134" i="16"/>
  <c r="S133" i="16"/>
  <c r="T133" i="16" s="1"/>
  <c r="R133" i="16"/>
  <c r="K133" i="16"/>
  <c r="I133" i="16"/>
  <c r="H133" i="16"/>
  <c r="G133" i="16"/>
  <c r="S132" i="16"/>
  <c r="T132" i="16" s="1"/>
  <c r="R132" i="16"/>
  <c r="K132" i="16"/>
  <c r="I132" i="16"/>
  <c r="H132" i="16"/>
  <c r="G132" i="16"/>
  <c r="S131" i="16"/>
  <c r="T131" i="16" s="1"/>
  <c r="R131" i="16"/>
  <c r="K131" i="16"/>
  <c r="I131" i="16"/>
  <c r="H131" i="16"/>
  <c r="G131" i="16"/>
  <c r="S130" i="16"/>
  <c r="T130" i="16" s="1"/>
  <c r="R130" i="16"/>
  <c r="K130" i="16"/>
  <c r="I130" i="16"/>
  <c r="H130" i="16"/>
  <c r="G130" i="16"/>
  <c r="S129" i="16"/>
  <c r="T129" i="16" s="1"/>
  <c r="R129" i="16"/>
  <c r="K129" i="16"/>
  <c r="I129" i="16"/>
  <c r="H129" i="16"/>
  <c r="G129" i="16"/>
  <c r="S128" i="16"/>
  <c r="T128" i="16" s="1"/>
  <c r="R128" i="16"/>
  <c r="K128" i="16"/>
  <c r="I128" i="16"/>
  <c r="H128" i="16"/>
  <c r="G128" i="16"/>
  <c r="S127" i="16"/>
  <c r="T127" i="16" s="1"/>
  <c r="R127" i="16"/>
  <c r="K127" i="16"/>
  <c r="I127" i="16"/>
  <c r="H127" i="16"/>
  <c r="G127" i="16"/>
  <c r="S126" i="16"/>
  <c r="T126" i="16" s="1"/>
  <c r="R126" i="16"/>
  <c r="K126" i="16"/>
  <c r="I126" i="16"/>
  <c r="H126" i="16"/>
  <c r="G126" i="16"/>
  <c r="S125" i="16"/>
  <c r="T125" i="16" s="1"/>
  <c r="R125" i="16"/>
  <c r="K125" i="16"/>
  <c r="I125" i="16"/>
  <c r="H125" i="16"/>
  <c r="G125" i="16"/>
  <c r="S124" i="16"/>
  <c r="T124" i="16" s="1"/>
  <c r="R124" i="16"/>
  <c r="K124" i="16"/>
  <c r="I124" i="16"/>
  <c r="H124" i="16"/>
  <c r="G124" i="16"/>
  <c r="S123" i="16"/>
  <c r="T123" i="16" s="1"/>
  <c r="R123" i="16"/>
  <c r="K123" i="16"/>
  <c r="I123" i="16"/>
  <c r="H123" i="16"/>
  <c r="G123" i="16"/>
  <c r="S122" i="16"/>
  <c r="T122" i="16" s="1"/>
  <c r="R122" i="16"/>
  <c r="K122" i="16"/>
  <c r="I122" i="16"/>
  <c r="H122" i="16"/>
  <c r="G122" i="16"/>
  <c r="S121" i="16"/>
  <c r="T121" i="16" s="1"/>
  <c r="R121" i="16"/>
  <c r="K121" i="16"/>
  <c r="I121" i="16"/>
  <c r="H121" i="16"/>
  <c r="G121" i="16"/>
  <c r="S120" i="16"/>
  <c r="T120" i="16" s="1"/>
  <c r="R120" i="16"/>
  <c r="K120" i="16"/>
  <c r="I120" i="16"/>
  <c r="H120" i="16"/>
  <c r="G120" i="16"/>
  <c r="S119" i="16"/>
  <c r="T119" i="16" s="1"/>
  <c r="R119" i="16"/>
  <c r="K119" i="16"/>
  <c r="I119" i="16"/>
  <c r="H119" i="16"/>
  <c r="G119" i="16"/>
  <c r="S118" i="16"/>
  <c r="T118" i="16" s="1"/>
  <c r="R118" i="16"/>
  <c r="K118" i="16"/>
  <c r="I118" i="16"/>
  <c r="H118" i="16"/>
  <c r="G118" i="16"/>
  <c r="S117" i="16"/>
  <c r="T117" i="16" s="1"/>
  <c r="R117" i="16"/>
  <c r="K117" i="16"/>
  <c r="I117" i="16"/>
  <c r="H117" i="16"/>
  <c r="G117" i="16"/>
  <c r="S116" i="16"/>
  <c r="T116" i="16" s="1"/>
  <c r="R116" i="16"/>
  <c r="K116" i="16"/>
  <c r="I116" i="16"/>
  <c r="H116" i="16"/>
  <c r="G116" i="16"/>
  <c r="S115" i="16"/>
  <c r="T115" i="16" s="1"/>
  <c r="R115" i="16"/>
  <c r="K115" i="16"/>
  <c r="I115" i="16"/>
  <c r="H115" i="16"/>
  <c r="G115" i="16"/>
  <c r="S114" i="16"/>
  <c r="T114" i="16" s="1"/>
  <c r="R114" i="16"/>
  <c r="K114" i="16"/>
  <c r="I114" i="16"/>
  <c r="H114" i="16"/>
  <c r="G114" i="16"/>
  <c r="S113" i="16"/>
  <c r="T113" i="16" s="1"/>
  <c r="R113" i="16"/>
  <c r="K113" i="16"/>
  <c r="I113" i="16"/>
  <c r="H113" i="16"/>
  <c r="G113" i="16"/>
  <c r="S112" i="16"/>
  <c r="T112" i="16" s="1"/>
  <c r="R112" i="16"/>
  <c r="K112" i="16"/>
  <c r="I112" i="16"/>
  <c r="H112" i="16"/>
  <c r="G112" i="16"/>
  <c r="S111" i="16"/>
  <c r="T111" i="16" s="1"/>
  <c r="R111" i="16"/>
  <c r="K111" i="16"/>
  <c r="I111" i="16"/>
  <c r="H111" i="16"/>
  <c r="G111" i="16"/>
  <c r="S110" i="16"/>
  <c r="T110" i="16" s="1"/>
  <c r="R110" i="16"/>
  <c r="K110" i="16"/>
  <c r="I110" i="16"/>
  <c r="H110" i="16"/>
  <c r="G110" i="16"/>
  <c r="S109" i="16"/>
  <c r="T109" i="16" s="1"/>
  <c r="R109" i="16"/>
  <c r="K109" i="16"/>
  <c r="I109" i="16"/>
  <c r="H109" i="16"/>
  <c r="G109" i="16"/>
  <c r="S108" i="16"/>
  <c r="T108" i="16" s="1"/>
  <c r="R108" i="16"/>
  <c r="K108" i="16"/>
  <c r="I108" i="16"/>
  <c r="H108" i="16"/>
  <c r="G108" i="16"/>
  <c r="S107" i="16"/>
  <c r="T107" i="16" s="1"/>
  <c r="R107" i="16"/>
  <c r="K107" i="16"/>
  <c r="I107" i="16"/>
  <c r="H107" i="16"/>
  <c r="G107" i="16"/>
  <c r="S106" i="16"/>
  <c r="T106" i="16" s="1"/>
  <c r="R106" i="16"/>
  <c r="K106" i="16"/>
  <c r="I106" i="16"/>
  <c r="H106" i="16"/>
  <c r="G106" i="16"/>
  <c r="S105" i="16"/>
  <c r="T105" i="16" s="1"/>
  <c r="R105" i="16"/>
  <c r="K105" i="16"/>
  <c r="I105" i="16"/>
  <c r="H105" i="16"/>
  <c r="G105" i="16"/>
  <c r="S104" i="16"/>
  <c r="T104" i="16" s="1"/>
  <c r="R104" i="16"/>
  <c r="K104" i="16"/>
  <c r="I104" i="16"/>
  <c r="H104" i="16"/>
  <c r="G104" i="16"/>
  <c r="S103" i="16"/>
  <c r="T103" i="16" s="1"/>
  <c r="R103" i="16"/>
  <c r="K103" i="16"/>
  <c r="I103" i="16"/>
  <c r="H103" i="16"/>
  <c r="G103" i="16"/>
  <c r="S102" i="16"/>
  <c r="T102" i="16" s="1"/>
  <c r="R102" i="16"/>
  <c r="K102" i="16"/>
  <c r="I102" i="16"/>
  <c r="H102" i="16"/>
  <c r="G102" i="16"/>
  <c r="S101" i="16"/>
  <c r="T101" i="16" s="1"/>
  <c r="R101" i="16"/>
  <c r="K101" i="16"/>
  <c r="I101" i="16"/>
  <c r="H101" i="16"/>
  <c r="G101" i="16"/>
  <c r="S100" i="16"/>
  <c r="T100" i="16" s="1"/>
  <c r="R100" i="16"/>
  <c r="K100" i="16"/>
  <c r="I100" i="16"/>
  <c r="H100" i="16"/>
  <c r="G100" i="16"/>
  <c r="S99" i="16"/>
  <c r="T99" i="16" s="1"/>
  <c r="R99" i="16"/>
  <c r="K99" i="16"/>
  <c r="I99" i="16"/>
  <c r="H99" i="16"/>
  <c r="G99" i="16"/>
  <c r="S98" i="16"/>
  <c r="T98" i="16" s="1"/>
  <c r="R98" i="16"/>
  <c r="K98" i="16"/>
  <c r="I98" i="16"/>
  <c r="H98" i="16"/>
  <c r="G98" i="16"/>
  <c r="S97" i="16"/>
  <c r="T97" i="16" s="1"/>
  <c r="R97" i="16"/>
  <c r="K97" i="16"/>
  <c r="I97" i="16"/>
  <c r="H97" i="16"/>
  <c r="G97" i="16"/>
  <c r="S96" i="16"/>
  <c r="T96" i="16" s="1"/>
  <c r="R96" i="16"/>
  <c r="K96" i="16"/>
  <c r="I96" i="16"/>
  <c r="H96" i="16"/>
  <c r="G96" i="16"/>
  <c r="S95" i="16"/>
  <c r="T95" i="16" s="1"/>
  <c r="R95" i="16"/>
  <c r="K95" i="16"/>
  <c r="I95" i="16"/>
  <c r="H95" i="16"/>
  <c r="G95" i="16"/>
  <c r="S94" i="16"/>
  <c r="T94" i="16" s="1"/>
  <c r="R94" i="16"/>
  <c r="K94" i="16"/>
  <c r="I94" i="16"/>
  <c r="H94" i="16"/>
  <c r="G94" i="16"/>
  <c r="S93" i="16"/>
  <c r="T93" i="16" s="1"/>
  <c r="R93" i="16"/>
  <c r="K93" i="16"/>
  <c r="I93" i="16"/>
  <c r="H93" i="16"/>
  <c r="G93" i="16"/>
  <c r="S92" i="16"/>
  <c r="T92" i="16" s="1"/>
  <c r="R92" i="16"/>
  <c r="K92" i="16"/>
  <c r="I92" i="16"/>
  <c r="H92" i="16"/>
  <c r="G92" i="16"/>
  <c r="S91" i="16"/>
  <c r="T91" i="16" s="1"/>
  <c r="R91" i="16"/>
  <c r="K91" i="16"/>
  <c r="I91" i="16"/>
  <c r="H91" i="16"/>
  <c r="G91" i="16"/>
  <c r="S90" i="16"/>
  <c r="T90" i="16" s="1"/>
  <c r="R90" i="16"/>
  <c r="K90" i="16"/>
  <c r="I90" i="16"/>
  <c r="H90" i="16"/>
  <c r="G90" i="16"/>
  <c r="S89" i="16"/>
  <c r="T89" i="16" s="1"/>
  <c r="R89" i="16"/>
  <c r="K89" i="16"/>
  <c r="I89" i="16"/>
  <c r="H89" i="16"/>
  <c r="G89" i="16"/>
  <c r="S88" i="16"/>
  <c r="T88" i="16" s="1"/>
  <c r="R88" i="16"/>
  <c r="K88" i="16"/>
  <c r="I88" i="16"/>
  <c r="H88" i="16"/>
  <c r="G88" i="16"/>
  <c r="S87" i="16"/>
  <c r="T87" i="16" s="1"/>
  <c r="R87" i="16"/>
  <c r="K87" i="16"/>
  <c r="I87" i="16"/>
  <c r="H87" i="16"/>
  <c r="G87" i="16"/>
  <c r="S86" i="16"/>
  <c r="T86" i="16" s="1"/>
  <c r="R86" i="16"/>
  <c r="K86" i="16"/>
  <c r="I86" i="16"/>
  <c r="H86" i="16"/>
  <c r="G86" i="16"/>
  <c r="S85" i="16"/>
  <c r="T85" i="16" s="1"/>
  <c r="R85" i="16"/>
  <c r="K85" i="16"/>
  <c r="I85" i="16"/>
  <c r="H85" i="16"/>
  <c r="G85" i="16"/>
  <c r="S84" i="16"/>
  <c r="T84" i="16" s="1"/>
  <c r="R84" i="16"/>
  <c r="K84" i="16"/>
  <c r="I84" i="16"/>
  <c r="H84" i="16"/>
  <c r="G84" i="16"/>
  <c r="S83" i="16"/>
  <c r="T83" i="16" s="1"/>
  <c r="R83" i="16"/>
  <c r="K83" i="16"/>
  <c r="I83" i="16"/>
  <c r="H83" i="16"/>
  <c r="G83" i="16"/>
  <c r="S82" i="16"/>
  <c r="T82" i="16" s="1"/>
  <c r="R82" i="16"/>
  <c r="K82" i="16"/>
  <c r="I82" i="16"/>
  <c r="H82" i="16"/>
  <c r="G82" i="16"/>
  <c r="S81" i="16"/>
  <c r="T81" i="16" s="1"/>
  <c r="R81" i="16"/>
  <c r="K81" i="16"/>
  <c r="I81" i="16"/>
  <c r="H81" i="16"/>
  <c r="G81" i="16"/>
  <c r="R80" i="16"/>
  <c r="K80" i="16"/>
  <c r="I80" i="16"/>
  <c r="H80" i="16"/>
  <c r="E80" i="16"/>
  <c r="G80" i="16" s="1"/>
  <c r="R79" i="16"/>
  <c r="K79" i="16"/>
  <c r="I79" i="16"/>
  <c r="H79" i="16"/>
  <c r="E79" i="16"/>
  <c r="S79" i="16" s="1"/>
  <c r="T79" i="16" s="1"/>
  <c r="R78" i="16"/>
  <c r="K78" i="16"/>
  <c r="I78" i="16"/>
  <c r="H78" i="16"/>
  <c r="E78" i="16"/>
  <c r="S78" i="16" s="1"/>
  <c r="T78" i="16" s="1"/>
  <c r="R77" i="16"/>
  <c r="K77" i="16"/>
  <c r="I77" i="16"/>
  <c r="H77" i="16"/>
  <c r="E77" i="16"/>
  <c r="S77" i="16" s="1"/>
  <c r="T77" i="16" s="1"/>
  <c r="R76" i="16"/>
  <c r="K76" i="16"/>
  <c r="I76" i="16"/>
  <c r="H76" i="16"/>
  <c r="E76" i="16"/>
  <c r="S76" i="16" s="1"/>
  <c r="T76" i="16" s="1"/>
  <c r="R75" i="16"/>
  <c r="K75" i="16"/>
  <c r="I75" i="16"/>
  <c r="H75" i="16"/>
  <c r="E75" i="16"/>
  <c r="S75" i="16" s="1"/>
  <c r="T75" i="16" s="1"/>
  <c r="R74" i="16"/>
  <c r="K74" i="16"/>
  <c r="I74" i="16"/>
  <c r="H74" i="16"/>
  <c r="E74" i="16"/>
  <c r="S74" i="16" s="1"/>
  <c r="T74" i="16" s="1"/>
  <c r="R73" i="16"/>
  <c r="K73" i="16"/>
  <c r="I73" i="16"/>
  <c r="H73" i="16"/>
  <c r="E73" i="16"/>
  <c r="S73" i="16" s="1"/>
  <c r="T73" i="16" s="1"/>
  <c r="R72" i="16"/>
  <c r="K72" i="16"/>
  <c r="I72" i="16"/>
  <c r="H72" i="16"/>
  <c r="E72" i="16"/>
  <c r="S72" i="16" s="1"/>
  <c r="T72" i="16" s="1"/>
  <c r="R71" i="16"/>
  <c r="K71" i="16"/>
  <c r="I71" i="16"/>
  <c r="H71" i="16"/>
  <c r="E71" i="16"/>
  <c r="S71" i="16" s="1"/>
  <c r="T71" i="16" s="1"/>
  <c r="R70" i="16"/>
  <c r="K70" i="16"/>
  <c r="I70" i="16"/>
  <c r="H70" i="16"/>
  <c r="E70" i="16"/>
  <c r="S70" i="16" s="1"/>
  <c r="T70" i="16" s="1"/>
  <c r="R69" i="16"/>
  <c r="K69" i="16"/>
  <c r="I69" i="16"/>
  <c r="H69" i="16"/>
  <c r="E69" i="16"/>
  <c r="S69" i="16" s="1"/>
  <c r="T69" i="16" s="1"/>
  <c r="R68" i="16"/>
  <c r="K68" i="16"/>
  <c r="I68" i="16"/>
  <c r="H68" i="16"/>
  <c r="E68" i="16"/>
  <c r="S68" i="16" s="1"/>
  <c r="T68" i="16" s="1"/>
  <c r="R67" i="16"/>
  <c r="K67" i="16"/>
  <c r="I67" i="16"/>
  <c r="H67" i="16"/>
  <c r="E67" i="16"/>
  <c r="S67" i="16" s="1"/>
  <c r="T67" i="16" s="1"/>
  <c r="R66" i="16"/>
  <c r="K66" i="16"/>
  <c r="I66" i="16"/>
  <c r="H66" i="16"/>
  <c r="E66" i="16"/>
  <c r="S66" i="16" s="1"/>
  <c r="T66" i="16" s="1"/>
  <c r="R65" i="16"/>
  <c r="K65" i="16"/>
  <c r="I65" i="16"/>
  <c r="H65" i="16"/>
  <c r="E65" i="16"/>
  <c r="S65" i="16" s="1"/>
  <c r="T65" i="16" s="1"/>
  <c r="R64" i="16"/>
  <c r="K64" i="16"/>
  <c r="I64" i="16"/>
  <c r="H64" i="16"/>
  <c r="E64" i="16"/>
  <c r="S64" i="16" s="1"/>
  <c r="T64" i="16" s="1"/>
  <c r="R63" i="16"/>
  <c r="K63" i="16"/>
  <c r="I63" i="16"/>
  <c r="H63" i="16"/>
  <c r="E63" i="16"/>
  <c r="S63" i="16" s="1"/>
  <c r="T63" i="16" s="1"/>
  <c r="R62" i="16"/>
  <c r="K62" i="16"/>
  <c r="I62" i="16"/>
  <c r="H62" i="16"/>
  <c r="E62" i="16"/>
  <c r="S62" i="16" s="1"/>
  <c r="T62" i="16" s="1"/>
  <c r="R61" i="16"/>
  <c r="K61" i="16"/>
  <c r="I61" i="16"/>
  <c r="H61" i="16"/>
  <c r="E61" i="16"/>
  <c r="S61" i="16" s="1"/>
  <c r="T61" i="16" s="1"/>
  <c r="R60" i="16"/>
  <c r="K60" i="16"/>
  <c r="I60" i="16"/>
  <c r="H60" i="16"/>
  <c r="E60" i="16"/>
  <c r="S60" i="16" s="1"/>
  <c r="T60" i="16" s="1"/>
  <c r="R59" i="16"/>
  <c r="K59" i="16"/>
  <c r="I59" i="16"/>
  <c r="H59" i="16"/>
  <c r="E59" i="16"/>
  <c r="S59" i="16" s="1"/>
  <c r="T59" i="16" s="1"/>
  <c r="R58" i="16"/>
  <c r="K58" i="16"/>
  <c r="I58" i="16"/>
  <c r="H58" i="16"/>
  <c r="E58" i="16"/>
  <c r="S58" i="16" s="1"/>
  <c r="T58" i="16" s="1"/>
  <c r="R57" i="16"/>
  <c r="K57" i="16"/>
  <c r="I57" i="16"/>
  <c r="H57" i="16"/>
  <c r="E57" i="16"/>
  <c r="S57" i="16" s="1"/>
  <c r="T57" i="16" s="1"/>
  <c r="R56" i="16"/>
  <c r="K56" i="16"/>
  <c r="I56" i="16"/>
  <c r="H56" i="16"/>
  <c r="E56" i="16"/>
  <c r="S56" i="16" s="1"/>
  <c r="T56" i="16" s="1"/>
  <c r="R55" i="16"/>
  <c r="K55" i="16"/>
  <c r="I55" i="16"/>
  <c r="H55" i="16"/>
  <c r="E55" i="16"/>
  <c r="S55" i="16" s="1"/>
  <c r="T55" i="16" s="1"/>
  <c r="R54" i="16"/>
  <c r="K54" i="16"/>
  <c r="I54" i="16"/>
  <c r="H54" i="16"/>
  <c r="E54" i="16"/>
  <c r="S54" i="16" s="1"/>
  <c r="T54" i="16" s="1"/>
  <c r="R53" i="16"/>
  <c r="K53" i="16"/>
  <c r="I53" i="16"/>
  <c r="H53" i="16"/>
  <c r="E53" i="16"/>
  <c r="S53" i="16" s="1"/>
  <c r="T53" i="16" s="1"/>
  <c r="R52" i="16"/>
  <c r="K52" i="16"/>
  <c r="I52" i="16"/>
  <c r="H52" i="16"/>
  <c r="E52" i="16"/>
  <c r="S52" i="16" s="1"/>
  <c r="T52" i="16" s="1"/>
  <c r="R51" i="16"/>
  <c r="K51" i="16"/>
  <c r="I51" i="16"/>
  <c r="H51" i="16"/>
  <c r="E51" i="16"/>
  <c r="S51" i="16" s="1"/>
  <c r="T51" i="16" s="1"/>
  <c r="R50" i="16"/>
  <c r="K50" i="16"/>
  <c r="I50" i="16"/>
  <c r="H50" i="16"/>
  <c r="E50" i="16"/>
  <c r="S50" i="16" s="1"/>
  <c r="T50" i="16" s="1"/>
  <c r="R49" i="16"/>
  <c r="K49" i="16"/>
  <c r="I49" i="16"/>
  <c r="H49" i="16"/>
  <c r="E49" i="16"/>
  <c r="S49" i="16" s="1"/>
  <c r="T49" i="16" s="1"/>
  <c r="R48" i="16"/>
  <c r="K48" i="16"/>
  <c r="I48" i="16"/>
  <c r="H48" i="16"/>
  <c r="E48" i="16"/>
  <c r="S48" i="16" s="1"/>
  <c r="T48" i="16" s="1"/>
  <c r="R47" i="16"/>
  <c r="K47" i="16"/>
  <c r="I47" i="16"/>
  <c r="H47" i="16"/>
  <c r="E47" i="16"/>
  <c r="S47" i="16" s="1"/>
  <c r="T47" i="16" s="1"/>
  <c r="R46" i="16"/>
  <c r="K46" i="16"/>
  <c r="I46" i="16"/>
  <c r="H46" i="16"/>
  <c r="E46" i="16"/>
  <c r="S46" i="16" s="1"/>
  <c r="T46" i="16" s="1"/>
  <c r="R45" i="16"/>
  <c r="K45" i="16"/>
  <c r="I45" i="16"/>
  <c r="H45" i="16"/>
  <c r="E45" i="16"/>
  <c r="S45" i="16" s="1"/>
  <c r="T45" i="16" s="1"/>
  <c r="R44" i="16"/>
  <c r="K44" i="16"/>
  <c r="I44" i="16"/>
  <c r="H44" i="16"/>
  <c r="E44" i="16"/>
  <c r="S44" i="16" s="1"/>
  <c r="T44" i="16" s="1"/>
  <c r="R43" i="16"/>
  <c r="K43" i="16"/>
  <c r="I43" i="16"/>
  <c r="H43" i="16"/>
  <c r="E43" i="16"/>
  <c r="S43" i="16" s="1"/>
  <c r="T43" i="16" s="1"/>
  <c r="R42" i="16"/>
  <c r="K42" i="16"/>
  <c r="I42" i="16"/>
  <c r="H42" i="16"/>
  <c r="E42" i="16"/>
  <c r="S42" i="16" s="1"/>
  <c r="T42" i="16" s="1"/>
  <c r="R41" i="16"/>
  <c r="K41" i="16"/>
  <c r="I41" i="16"/>
  <c r="H41" i="16"/>
  <c r="E41" i="16"/>
  <c r="S41" i="16" s="1"/>
  <c r="T41" i="16" s="1"/>
  <c r="R40" i="16"/>
  <c r="K40" i="16"/>
  <c r="I40" i="16"/>
  <c r="H40" i="16"/>
  <c r="E40" i="16"/>
  <c r="S40" i="16" s="1"/>
  <c r="T40" i="16" s="1"/>
  <c r="R39" i="16"/>
  <c r="K39" i="16"/>
  <c r="I39" i="16"/>
  <c r="H39" i="16"/>
  <c r="E39" i="16"/>
  <c r="S39" i="16" s="1"/>
  <c r="T39" i="16" s="1"/>
  <c r="R38" i="16"/>
  <c r="K38" i="16"/>
  <c r="I38" i="16"/>
  <c r="H38" i="16"/>
  <c r="E38" i="16"/>
  <c r="S38" i="16" s="1"/>
  <c r="T38" i="16" s="1"/>
  <c r="R37" i="16"/>
  <c r="K37" i="16"/>
  <c r="I37" i="16"/>
  <c r="H37" i="16"/>
  <c r="E37" i="16"/>
  <c r="S37" i="16" s="1"/>
  <c r="T37" i="16" s="1"/>
  <c r="R36" i="16"/>
  <c r="K36" i="16"/>
  <c r="I36" i="16"/>
  <c r="H36" i="16"/>
  <c r="E36" i="16"/>
  <c r="S36" i="16" s="1"/>
  <c r="T36" i="16" s="1"/>
  <c r="R35" i="16"/>
  <c r="K35" i="16"/>
  <c r="I35" i="16"/>
  <c r="H35" i="16"/>
  <c r="E35" i="16"/>
  <c r="S35" i="16" s="1"/>
  <c r="T35" i="16" s="1"/>
  <c r="R34" i="16"/>
  <c r="K34" i="16"/>
  <c r="I34" i="16"/>
  <c r="H34" i="16"/>
  <c r="E34" i="16"/>
  <c r="S34" i="16" s="1"/>
  <c r="T34" i="16" s="1"/>
  <c r="R33" i="16"/>
  <c r="K33" i="16"/>
  <c r="I33" i="16"/>
  <c r="H33" i="16"/>
  <c r="E33" i="16"/>
  <c r="S33" i="16" s="1"/>
  <c r="T33" i="16" s="1"/>
  <c r="R32" i="16"/>
  <c r="K32" i="16"/>
  <c r="I32" i="16"/>
  <c r="H32" i="16"/>
  <c r="E32" i="16"/>
  <c r="S32" i="16" s="1"/>
  <c r="T32" i="16" s="1"/>
  <c r="R31" i="16"/>
  <c r="K31" i="16"/>
  <c r="I31" i="16"/>
  <c r="H31" i="16"/>
  <c r="E31" i="16"/>
  <c r="S31" i="16" s="1"/>
  <c r="T31" i="16" s="1"/>
  <c r="R30" i="16"/>
  <c r="K30" i="16"/>
  <c r="I30" i="16"/>
  <c r="H30" i="16"/>
  <c r="E30" i="16"/>
  <c r="S30" i="16" s="1"/>
  <c r="T30" i="16" s="1"/>
  <c r="R29" i="16"/>
  <c r="K29" i="16"/>
  <c r="I29" i="16"/>
  <c r="H29" i="16"/>
  <c r="E29" i="16"/>
  <c r="S29" i="16" s="1"/>
  <c r="T29" i="16" s="1"/>
  <c r="R28" i="16"/>
  <c r="K28" i="16"/>
  <c r="I28" i="16"/>
  <c r="H28" i="16"/>
  <c r="E28" i="16"/>
  <c r="S28" i="16" s="1"/>
  <c r="T28" i="16" s="1"/>
  <c r="R27" i="16"/>
  <c r="K27" i="16"/>
  <c r="I27" i="16"/>
  <c r="H27" i="16"/>
  <c r="E27" i="16"/>
  <c r="S27" i="16" s="1"/>
  <c r="T27" i="16" s="1"/>
  <c r="R26" i="16"/>
  <c r="K26" i="16"/>
  <c r="I26" i="16"/>
  <c r="H26" i="16"/>
  <c r="E26" i="16"/>
  <c r="S26" i="16" s="1"/>
  <c r="T26" i="16" s="1"/>
  <c r="R25" i="16"/>
  <c r="K25" i="16"/>
  <c r="I25" i="16"/>
  <c r="H25" i="16"/>
  <c r="E25" i="16"/>
  <c r="S25" i="16" s="1"/>
  <c r="T25" i="16" s="1"/>
  <c r="R24" i="16"/>
  <c r="K24" i="16"/>
  <c r="I24" i="16"/>
  <c r="H24" i="16"/>
  <c r="E24" i="16"/>
  <c r="S24" i="16" s="1"/>
  <c r="T24" i="16" s="1"/>
  <c r="R23" i="16"/>
  <c r="K23" i="16"/>
  <c r="I23" i="16"/>
  <c r="H23" i="16"/>
  <c r="E23" i="16"/>
  <c r="S23" i="16" s="1"/>
  <c r="T23" i="16" s="1"/>
  <c r="R22" i="16"/>
  <c r="K22" i="16"/>
  <c r="I22" i="16"/>
  <c r="H22" i="16"/>
  <c r="E22" i="16"/>
  <c r="S22" i="16" s="1"/>
  <c r="T22" i="16" s="1"/>
  <c r="R21" i="16"/>
  <c r="K21" i="16"/>
  <c r="I21" i="16"/>
  <c r="H21" i="16"/>
  <c r="E21" i="16"/>
  <c r="S21" i="16" s="1"/>
  <c r="T21" i="16" s="1"/>
  <c r="R20" i="16"/>
  <c r="K20" i="16"/>
  <c r="I20" i="16"/>
  <c r="H20" i="16"/>
  <c r="E20" i="16"/>
  <c r="S20" i="16" s="1"/>
  <c r="T20" i="16" s="1"/>
  <c r="R19" i="16"/>
  <c r="K19" i="16"/>
  <c r="I19" i="16"/>
  <c r="H19" i="16"/>
  <c r="E19" i="16"/>
  <c r="S19" i="16" s="1"/>
  <c r="T19" i="16" s="1"/>
  <c r="R18" i="16"/>
  <c r="K18" i="16"/>
  <c r="I18" i="16"/>
  <c r="H18" i="16"/>
  <c r="E18" i="16"/>
  <c r="S18" i="16" s="1"/>
  <c r="T18" i="16" s="1"/>
  <c r="R17" i="16"/>
  <c r="K17" i="16"/>
  <c r="I17" i="16"/>
  <c r="H17" i="16"/>
  <c r="E17" i="16"/>
  <c r="S17" i="16" s="1"/>
  <c r="T17" i="16" s="1"/>
  <c r="R16" i="16"/>
  <c r="K16" i="16"/>
  <c r="I16" i="16"/>
  <c r="H16" i="16"/>
  <c r="E16" i="16"/>
  <c r="S16" i="16" s="1"/>
  <c r="T16" i="16" s="1"/>
  <c r="R15" i="16"/>
  <c r="K15" i="16"/>
  <c r="I15" i="16"/>
  <c r="H15" i="16"/>
  <c r="E15" i="16"/>
  <c r="S15" i="16" s="1"/>
  <c r="T15" i="16" s="1"/>
  <c r="R14" i="16"/>
  <c r="K14" i="16"/>
  <c r="I14" i="16"/>
  <c r="H14" i="16"/>
  <c r="E14" i="16"/>
  <c r="S14" i="16" s="1"/>
  <c r="T14" i="16" s="1"/>
  <c r="R13" i="16"/>
  <c r="K13" i="16"/>
  <c r="I13" i="16"/>
  <c r="H13" i="16"/>
  <c r="E13" i="16"/>
  <c r="S13" i="16" s="1"/>
  <c r="T13" i="16" s="1"/>
  <c r="R12" i="16"/>
  <c r="K12" i="16"/>
  <c r="I12" i="16"/>
  <c r="H12" i="16"/>
  <c r="E12" i="16"/>
  <c r="S12" i="16" s="1"/>
  <c r="T12" i="16" s="1"/>
  <c r="R11" i="16"/>
  <c r="K11" i="16"/>
  <c r="I11" i="16"/>
  <c r="H11" i="16"/>
  <c r="E11" i="16"/>
  <c r="S11" i="16" s="1"/>
  <c r="T11" i="16" s="1"/>
  <c r="R10" i="16"/>
  <c r="K10" i="16"/>
  <c r="I10" i="16"/>
  <c r="H10" i="16"/>
  <c r="E10" i="16"/>
  <c r="S10" i="16" s="1"/>
  <c r="T10" i="16" s="1"/>
  <c r="R9" i="16"/>
  <c r="K9" i="16"/>
  <c r="I9" i="16"/>
  <c r="H9" i="16"/>
  <c r="E9" i="16"/>
  <c r="S9" i="16" s="1"/>
  <c r="T9" i="16" s="1"/>
  <c r="R8" i="16"/>
  <c r="K8" i="16"/>
  <c r="I8" i="16"/>
  <c r="H8" i="16"/>
  <c r="E8" i="16"/>
  <c r="S8" i="16" s="1"/>
  <c r="T8" i="16" s="1"/>
  <c r="R7" i="16"/>
  <c r="K7" i="16"/>
  <c r="I7" i="16"/>
  <c r="H7" i="16"/>
  <c r="E7" i="16"/>
  <c r="S7" i="16" s="1"/>
  <c r="O461" i="16" l="1"/>
  <c r="M461" i="16"/>
  <c r="I461" i="16"/>
  <c r="K461" i="16"/>
  <c r="R461" i="16"/>
  <c r="H461" i="16"/>
  <c r="N461" i="16"/>
  <c r="L461" i="16"/>
  <c r="P461" i="16"/>
  <c r="T7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S80" i="16"/>
  <c r="T80" i="16" s="1"/>
  <c r="V95" i="17"/>
  <c r="J95" i="17"/>
  <c r="E95" i="17"/>
  <c r="U93" i="17"/>
  <c r="C92" i="17"/>
  <c r="U92" i="17" s="1"/>
  <c r="U91" i="17"/>
  <c r="C90" i="17"/>
  <c r="U90" i="17" s="1"/>
  <c r="U95" i="17" s="1"/>
  <c r="M89" i="17"/>
  <c r="L89" i="17"/>
  <c r="K89" i="17"/>
  <c r="M88" i="17"/>
  <c r="L88" i="17"/>
  <c r="K88" i="17"/>
  <c r="M87" i="17"/>
  <c r="L87" i="17"/>
  <c r="K87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G461" i="16" l="1"/>
  <c r="T461" i="16"/>
  <c r="S461" i="16"/>
  <c r="Z462" i="16" s="1"/>
  <c r="W54" i="10"/>
  <c r="V54" i="10"/>
  <c r="U54" i="10"/>
  <c r="T54" i="10"/>
  <c r="S54" i="10"/>
  <c r="R54" i="10"/>
  <c r="Q54" i="10"/>
  <c r="O54" i="10"/>
  <c r="N54" i="10"/>
  <c r="I54" i="10"/>
  <c r="D54" i="10"/>
  <c r="B54" i="10"/>
  <c r="M53" i="10"/>
  <c r="M52" i="10"/>
  <c r="P51" i="10"/>
  <c r="P54" i="10" s="1"/>
  <c r="M50" i="10"/>
  <c r="M49" i="10"/>
  <c r="M48" i="10"/>
  <c r="L48" i="10"/>
  <c r="K48" i="10"/>
  <c r="H48" i="10"/>
  <c r="F48" i="10"/>
  <c r="M47" i="10"/>
  <c r="K47" i="10"/>
  <c r="L47" i="10" s="1"/>
  <c r="H47" i="10"/>
  <c r="F47" i="10"/>
  <c r="M46" i="10"/>
  <c r="K46" i="10"/>
  <c r="L46" i="10" s="1"/>
  <c r="H46" i="10"/>
  <c r="G46" i="10"/>
  <c r="F46" i="10"/>
  <c r="M45" i="10"/>
  <c r="L45" i="10"/>
  <c r="K45" i="10"/>
  <c r="H45" i="10"/>
  <c r="G45" i="10"/>
  <c r="F45" i="10"/>
  <c r="M44" i="10"/>
  <c r="K44" i="10"/>
  <c r="L44" i="10" s="1"/>
  <c r="L54" i="10" s="1"/>
  <c r="J44" i="10"/>
  <c r="J54" i="10" s="1"/>
  <c r="H44" i="10"/>
  <c r="G44" i="10"/>
  <c r="F44" i="10"/>
  <c r="F54" i="10" s="1"/>
  <c r="W43" i="10"/>
  <c r="V43" i="10"/>
  <c r="U43" i="10"/>
  <c r="T43" i="10"/>
  <c r="S43" i="10"/>
  <c r="R43" i="10"/>
  <c r="Q43" i="10"/>
  <c r="O43" i="10"/>
  <c r="N43" i="10"/>
  <c r="I43" i="10"/>
  <c r="D43" i="10"/>
  <c r="B43" i="10"/>
  <c r="F42" i="10"/>
  <c r="F41" i="10"/>
  <c r="P40" i="10"/>
  <c r="P43" i="10" s="1"/>
  <c r="F39" i="10"/>
  <c r="F38" i="10"/>
  <c r="M37" i="10"/>
  <c r="K37" i="10"/>
  <c r="L37" i="10" s="1"/>
  <c r="H37" i="10"/>
  <c r="F37" i="10"/>
  <c r="M36" i="10"/>
  <c r="K36" i="10"/>
  <c r="H36" i="10"/>
  <c r="F36" i="10"/>
  <c r="M35" i="10"/>
  <c r="K35" i="10"/>
  <c r="L35" i="10" s="1"/>
  <c r="H35" i="10"/>
  <c r="F35" i="10"/>
  <c r="M34" i="10"/>
  <c r="L34" i="10"/>
  <c r="K34" i="10"/>
  <c r="H34" i="10"/>
  <c r="G34" i="10"/>
  <c r="F34" i="10"/>
  <c r="M33" i="10"/>
  <c r="K33" i="10"/>
  <c r="L33" i="10" s="1"/>
  <c r="J33" i="10"/>
  <c r="J43" i="10" s="1"/>
  <c r="H33" i="10"/>
  <c r="G33" i="10"/>
  <c r="G43" i="10" s="1"/>
  <c r="F33" i="10"/>
  <c r="F43" i="10" s="1"/>
  <c r="W32" i="10"/>
  <c r="W55" i="10" s="1"/>
  <c r="V32" i="10"/>
  <c r="V55" i="10" s="1"/>
  <c r="O32" i="10"/>
  <c r="O55" i="10" s="1"/>
  <c r="N32" i="10"/>
  <c r="N55" i="10" s="1"/>
  <c r="E32" i="10"/>
  <c r="D32" i="10"/>
  <c r="D55" i="10" s="1"/>
  <c r="B32" i="10"/>
  <c r="B55" i="10" s="1"/>
  <c r="K31" i="10"/>
  <c r="I31" i="10"/>
  <c r="K30" i="10"/>
  <c r="I30" i="10"/>
  <c r="K29" i="10"/>
  <c r="U28" i="10"/>
  <c r="U32" i="10" s="1"/>
  <c r="U55" i="10" s="1"/>
  <c r="K28" i="10"/>
  <c r="T27" i="10"/>
  <c r="T32" i="10" s="1"/>
  <c r="T55" i="10" s="1"/>
  <c r="K27" i="10"/>
  <c r="S26" i="10"/>
  <c r="S32" i="10" s="1"/>
  <c r="S55" i="10" s="1"/>
  <c r="K26" i="10"/>
  <c r="R25" i="10"/>
  <c r="R32" i="10" s="1"/>
  <c r="R55" i="10" s="1"/>
  <c r="K25" i="10"/>
  <c r="Q24" i="10"/>
  <c r="Q32" i="10" s="1"/>
  <c r="Q55" i="10" s="1"/>
  <c r="K24" i="10"/>
  <c r="P23" i="10"/>
  <c r="P32" i="10" s="1"/>
  <c r="K23" i="10"/>
  <c r="K22" i="10"/>
  <c r="I22" i="10"/>
  <c r="K21" i="10"/>
  <c r="I21" i="10"/>
  <c r="K20" i="10"/>
  <c r="I20" i="10"/>
  <c r="K19" i="10"/>
  <c r="I19" i="10"/>
  <c r="K18" i="10"/>
  <c r="I18" i="10"/>
  <c r="K17" i="10"/>
  <c r="I17" i="10"/>
  <c r="K16" i="10"/>
  <c r="I16" i="10"/>
  <c r="M15" i="10"/>
  <c r="K15" i="10"/>
  <c r="L15" i="10" s="1"/>
  <c r="H15" i="10"/>
  <c r="F15" i="10"/>
  <c r="M14" i="10"/>
  <c r="L14" i="10"/>
  <c r="K14" i="10"/>
  <c r="H14" i="10"/>
  <c r="F14" i="10"/>
  <c r="M13" i="10"/>
  <c r="K13" i="10"/>
  <c r="L13" i="10" s="1"/>
  <c r="H13" i="10"/>
  <c r="F13" i="10"/>
  <c r="M12" i="10"/>
  <c r="L12" i="10"/>
  <c r="K12" i="10"/>
  <c r="H12" i="10"/>
  <c r="F12" i="10"/>
  <c r="M11" i="10"/>
  <c r="K11" i="10"/>
  <c r="L11" i="10" s="1"/>
  <c r="H11" i="10"/>
  <c r="G11" i="10"/>
  <c r="F11" i="10"/>
  <c r="M10" i="10"/>
  <c r="K10" i="10"/>
  <c r="L10" i="10" s="1"/>
  <c r="H10" i="10"/>
  <c r="G10" i="10"/>
  <c r="F10" i="10"/>
  <c r="M9" i="10"/>
  <c r="K9" i="10"/>
  <c r="L9" i="10" s="1"/>
  <c r="J9" i="10"/>
  <c r="H9" i="10"/>
  <c r="G9" i="10"/>
  <c r="F9" i="10"/>
  <c r="M8" i="10"/>
  <c r="K8" i="10"/>
  <c r="L8" i="10" s="1"/>
  <c r="J8" i="10"/>
  <c r="H8" i="10"/>
  <c r="G8" i="10"/>
  <c r="F8" i="10"/>
  <c r="M7" i="10"/>
  <c r="M32" i="10" s="1"/>
  <c r="K7" i="10"/>
  <c r="J7" i="10"/>
  <c r="H7" i="10"/>
  <c r="H32" i="10" s="1"/>
  <c r="G7" i="10"/>
  <c r="F7" i="10"/>
  <c r="J32" i="10" l="1"/>
  <c r="G32" i="10"/>
  <c r="G55" i="10" s="1"/>
  <c r="I32" i="10"/>
  <c r="I55" i="10" s="1"/>
  <c r="H43" i="10"/>
  <c r="G54" i="10"/>
  <c r="F32" i="10"/>
  <c r="F55" i="10" s="1"/>
  <c r="K32" i="10"/>
  <c r="H54" i="10"/>
  <c r="M54" i="10"/>
  <c r="M43" i="10"/>
  <c r="M55" i="10" s="1"/>
  <c r="H55" i="10"/>
  <c r="P55" i="10"/>
  <c r="J55" i="10"/>
  <c r="L43" i="10"/>
  <c r="K43" i="10"/>
  <c r="L7" i="10"/>
  <c r="L32" i="10" s="1"/>
  <c r="K54" i="10"/>
  <c r="K55" i="10" s="1"/>
  <c r="U251" i="8"/>
  <c r="P251" i="8"/>
  <c r="O251" i="8"/>
  <c r="N251" i="8"/>
  <c r="M251" i="8"/>
  <c r="L251" i="8"/>
  <c r="K251" i="8"/>
  <c r="J251" i="8"/>
  <c r="I251" i="8"/>
  <c r="H251" i="8"/>
  <c r="G251" i="8"/>
  <c r="F251" i="8"/>
  <c r="E251" i="8"/>
  <c r="R249" i="8"/>
  <c r="S249" i="8" s="1"/>
  <c r="Q249" i="8"/>
  <c r="R248" i="8"/>
  <c r="S248" i="8" s="1"/>
  <c r="Q248" i="8"/>
  <c r="R247" i="8"/>
  <c r="S247" i="8" s="1"/>
  <c r="Q247" i="8"/>
  <c r="S246" i="8"/>
  <c r="R246" i="8"/>
  <c r="Q246" i="8"/>
  <c r="R245" i="8"/>
  <c r="S245" i="8" s="1"/>
  <c r="Q245" i="8"/>
  <c r="S244" i="8"/>
  <c r="R244" i="8"/>
  <c r="Q244" i="8"/>
  <c r="R243" i="8"/>
  <c r="S243" i="8" s="1"/>
  <c r="Q243" i="8"/>
  <c r="R242" i="8"/>
  <c r="S242" i="8" s="1"/>
  <c r="Q242" i="8"/>
  <c r="R241" i="8"/>
  <c r="S241" i="8" s="1"/>
  <c r="Q241" i="8"/>
  <c r="R240" i="8"/>
  <c r="S240" i="8" s="1"/>
  <c r="Q240" i="8"/>
  <c r="R239" i="8"/>
  <c r="S239" i="8" s="1"/>
  <c r="Q239" i="8"/>
  <c r="S238" i="8"/>
  <c r="R238" i="8"/>
  <c r="Q238" i="8"/>
  <c r="R237" i="8"/>
  <c r="S237" i="8" s="1"/>
  <c r="Q237" i="8"/>
  <c r="S236" i="8"/>
  <c r="R236" i="8"/>
  <c r="Q236" i="8"/>
  <c r="R235" i="8"/>
  <c r="S235" i="8" s="1"/>
  <c r="Q235" i="8"/>
  <c r="R234" i="8"/>
  <c r="S234" i="8" s="1"/>
  <c r="Q234" i="8"/>
  <c r="R233" i="8"/>
  <c r="S233" i="8" s="1"/>
  <c r="Q233" i="8"/>
  <c r="R232" i="8"/>
  <c r="S232" i="8" s="1"/>
  <c r="Q232" i="8"/>
  <c r="R231" i="8"/>
  <c r="S231" i="8" s="1"/>
  <c r="Q231" i="8"/>
  <c r="R230" i="8"/>
  <c r="S230" i="8" s="1"/>
  <c r="Q230" i="8"/>
  <c r="R229" i="8"/>
  <c r="S229" i="8" s="1"/>
  <c r="Q229" i="8"/>
  <c r="S228" i="8"/>
  <c r="R228" i="8"/>
  <c r="Q228" i="8"/>
  <c r="R227" i="8"/>
  <c r="S227" i="8" s="1"/>
  <c r="Q227" i="8"/>
  <c r="R226" i="8"/>
  <c r="S226" i="8" s="1"/>
  <c r="Q226" i="8"/>
  <c r="R225" i="8"/>
  <c r="S225" i="8" s="1"/>
  <c r="Q225" i="8"/>
  <c r="R224" i="8"/>
  <c r="S224" i="8" s="1"/>
  <c r="Q224" i="8"/>
  <c r="R223" i="8"/>
  <c r="S223" i="8" s="1"/>
  <c r="Q223" i="8"/>
  <c r="R222" i="8"/>
  <c r="S222" i="8" s="1"/>
  <c r="Q222" i="8"/>
  <c r="R221" i="8"/>
  <c r="S221" i="8" s="1"/>
  <c r="Q221" i="8"/>
  <c r="S220" i="8"/>
  <c r="R220" i="8"/>
  <c r="Q220" i="8"/>
  <c r="R219" i="8"/>
  <c r="S219" i="8" s="1"/>
  <c r="Q219" i="8"/>
  <c r="R218" i="8"/>
  <c r="S218" i="8" s="1"/>
  <c r="Q218" i="8"/>
  <c r="R217" i="8"/>
  <c r="S217" i="8" s="1"/>
  <c r="Q217" i="8"/>
  <c r="R216" i="8"/>
  <c r="S216" i="8" s="1"/>
  <c r="Q216" i="8"/>
  <c r="R215" i="8"/>
  <c r="S215" i="8" s="1"/>
  <c r="Q215" i="8"/>
  <c r="R214" i="8"/>
  <c r="S214" i="8" s="1"/>
  <c r="Q214" i="8"/>
  <c r="R213" i="8"/>
  <c r="S213" i="8" s="1"/>
  <c r="Q213" i="8"/>
  <c r="S212" i="8"/>
  <c r="R212" i="8"/>
  <c r="Q212" i="8"/>
  <c r="R211" i="8"/>
  <c r="S211" i="8" s="1"/>
  <c r="Q211" i="8"/>
  <c r="R210" i="8"/>
  <c r="S210" i="8" s="1"/>
  <c r="Q210" i="8"/>
  <c r="R209" i="8"/>
  <c r="S209" i="8" s="1"/>
  <c r="Q209" i="8"/>
  <c r="R208" i="8"/>
  <c r="S208" i="8" s="1"/>
  <c r="Q208" i="8"/>
  <c r="R207" i="8"/>
  <c r="S207" i="8" s="1"/>
  <c r="Q207" i="8"/>
  <c r="R206" i="8"/>
  <c r="S206" i="8" s="1"/>
  <c r="Q206" i="8"/>
  <c r="R205" i="8"/>
  <c r="S205" i="8" s="1"/>
  <c r="Q205" i="8"/>
  <c r="S204" i="8"/>
  <c r="R204" i="8"/>
  <c r="Q204" i="8"/>
  <c r="R203" i="8"/>
  <c r="S203" i="8" s="1"/>
  <c r="Q203" i="8"/>
  <c r="R202" i="8"/>
  <c r="S202" i="8" s="1"/>
  <c r="Q202" i="8"/>
  <c r="R201" i="8"/>
  <c r="S201" i="8" s="1"/>
  <c r="Q201" i="8"/>
  <c r="R200" i="8"/>
  <c r="S200" i="8" s="1"/>
  <c r="Q200" i="8"/>
  <c r="R199" i="8"/>
  <c r="S199" i="8" s="1"/>
  <c r="Q199" i="8"/>
  <c r="R198" i="8"/>
  <c r="S198" i="8" s="1"/>
  <c r="Q198" i="8"/>
  <c r="R197" i="8"/>
  <c r="S197" i="8" s="1"/>
  <c r="Q197" i="8"/>
  <c r="S196" i="8"/>
  <c r="R196" i="8"/>
  <c r="Q196" i="8"/>
  <c r="R195" i="8"/>
  <c r="S195" i="8" s="1"/>
  <c r="Q195" i="8"/>
  <c r="R194" i="8"/>
  <c r="S194" i="8" s="1"/>
  <c r="Q194" i="8"/>
  <c r="R193" i="8"/>
  <c r="S193" i="8" s="1"/>
  <c r="Q193" i="8"/>
  <c r="R192" i="8"/>
  <c r="S192" i="8" s="1"/>
  <c r="Q192" i="8"/>
  <c r="R191" i="8"/>
  <c r="S191" i="8" s="1"/>
  <c r="Q191" i="8"/>
  <c r="R190" i="8"/>
  <c r="S190" i="8" s="1"/>
  <c r="Q190" i="8"/>
  <c r="R189" i="8"/>
  <c r="S189" i="8" s="1"/>
  <c r="Q189" i="8"/>
  <c r="S188" i="8"/>
  <c r="R188" i="8"/>
  <c r="Q188" i="8"/>
  <c r="R187" i="8"/>
  <c r="S187" i="8" s="1"/>
  <c r="Q187" i="8"/>
  <c r="R186" i="8"/>
  <c r="S186" i="8" s="1"/>
  <c r="Q186" i="8"/>
  <c r="R185" i="8"/>
  <c r="S185" i="8" s="1"/>
  <c r="Q185" i="8"/>
  <c r="R184" i="8"/>
  <c r="S184" i="8" s="1"/>
  <c r="Q184" i="8"/>
  <c r="R183" i="8"/>
  <c r="S183" i="8" s="1"/>
  <c r="Q183" i="8"/>
  <c r="R182" i="8"/>
  <c r="S182" i="8" s="1"/>
  <c r="Q182" i="8"/>
  <c r="R181" i="8"/>
  <c r="S181" i="8" s="1"/>
  <c r="Q181" i="8"/>
  <c r="S180" i="8"/>
  <c r="R180" i="8"/>
  <c r="Q180" i="8"/>
  <c r="R179" i="8"/>
  <c r="S179" i="8" s="1"/>
  <c r="Q179" i="8"/>
  <c r="R178" i="8"/>
  <c r="S178" i="8" s="1"/>
  <c r="Q178" i="8"/>
  <c r="R177" i="8"/>
  <c r="S177" i="8" s="1"/>
  <c r="Q177" i="8"/>
  <c r="R176" i="8"/>
  <c r="S176" i="8" s="1"/>
  <c r="Q176" i="8"/>
  <c r="R175" i="8"/>
  <c r="S175" i="8" s="1"/>
  <c r="Q175" i="8"/>
  <c r="R174" i="8"/>
  <c r="S174" i="8" s="1"/>
  <c r="Q174" i="8"/>
  <c r="R173" i="8"/>
  <c r="S173" i="8" s="1"/>
  <c r="Q173" i="8"/>
  <c r="S172" i="8"/>
  <c r="R172" i="8"/>
  <c r="Q172" i="8"/>
  <c r="R171" i="8"/>
  <c r="S171" i="8" s="1"/>
  <c r="Q171" i="8"/>
  <c r="R170" i="8"/>
  <c r="S170" i="8" s="1"/>
  <c r="Q170" i="8"/>
  <c r="R156" i="8"/>
  <c r="S156" i="8" s="1"/>
  <c r="Q156" i="8"/>
  <c r="R155" i="8"/>
  <c r="S155" i="8" s="1"/>
  <c r="Q155" i="8"/>
  <c r="R154" i="8"/>
  <c r="S154" i="8" s="1"/>
  <c r="Q154" i="8"/>
  <c r="R153" i="8"/>
  <c r="S153" i="8" s="1"/>
  <c r="Q153" i="8"/>
  <c r="R152" i="8"/>
  <c r="S152" i="8" s="1"/>
  <c r="Q152" i="8"/>
  <c r="S151" i="8"/>
  <c r="R151" i="8"/>
  <c r="Q151" i="8"/>
  <c r="R150" i="8"/>
  <c r="S150" i="8" s="1"/>
  <c r="Q150" i="8"/>
  <c r="R149" i="8"/>
  <c r="S149" i="8" s="1"/>
  <c r="Q149" i="8"/>
  <c r="R139" i="8"/>
  <c r="S139" i="8" s="1"/>
  <c r="R138" i="8"/>
  <c r="S138" i="8" s="1"/>
  <c r="Q138" i="8"/>
  <c r="R137" i="8"/>
  <c r="S137" i="8" s="1"/>
  <c r="Q137" i="8"/>
  <c r="R136" i="8"/>
  <c r="S136" i="8" s="1"/>
  <c r="Q136" i="8"/>
  <c r="S135" i="8"/>
  <c r="R135" i="8"/>
  <c r="Q135" i="8"/>
  <c r="R134" i="8"/>
  <c r="S134" i="8" s="1"/>
  <c r="R133" i="8"/>
  <c r="S133" i="8" s="1"/>
  <c r="Q133" i="8"/>
  <c r="R132" i="8"/>
  <c r="S132" i="8" s="1"/>
  <c r="Q132" i="8"/>
  <c r="R131" i="8"/>
  <c r="S131" i="8" s="1"/>
  <c r="Q131" i="8"/>
  <c r="R130" i="8"/>
  <c r="S130" i="8" s="1"/>
  <c r="Q130" i="8"/>
  <c r="R129" i="8"/>
  <c r="S129" i="8" s="1"/>
  <c r="Q129" i="8"/>
  <c r="S128" i="8"/>
  <c r="R128" i="8"/>
  <c r="Q128" i="8"/>
  <c r="R127" i="8"/>
  <c r="S127" i="8" s="1"/>
  <c r="R126" i="8"/>
  <c r="S126" i="8" s="1"/>
  <c r="Q126" i="8"/>
  <c r="R125" i="8"/>
  <c r="S125" i="8" s="1"/>
  <c r="S124" i="8"/>
  <c r="R124" i="8"/>
  <c r="R123" i="8"/>
  <c r="S123" i="8" s="1"/>
  <c r="Q123" i="8"/>
  <c r="R122" i="8"/>
  <c r="S122" i="8" s="1"/>
  <c r="Q122" i="8"/>
  <c r="R121" i="8"/>
  <c r="S121" i="8" s="1"/>
  <c r="S120" i="8"/>
  <c r="R120" i="8"/>
  <c r="Q120" i="8"/>
  <c r="R119" i="8"/>
  <c r="S119" i="8" s="1"/>
  <c r="R118" i="8"/>
  <c r="S118" i="8" s="1"/>
  <c r="R117" i="8"/>
  <c r="S117" i="8" s="1"/>
  <c r="R116" i="8"/>
  <c r="S116" i="8" s="1"/>
  <c r="Q116" i="8"/>
  <c r="R115" i="8"/>
  <c r="S115" i="8" s="1"/>
  <c r="Q115" i="8"/>
  <c r="R114" i="8"/>
  <c r="S114" i="8" s="1"/>
  <c r="Q114" i="8"/>
  <c r="R113" i="8"/>
  <c r="S113" i="8" s="1"/>
  <c r="Q113" i="8"/>
  <c r="R112" i="8"/>
  <c r="S112" i="8" s="1"/>
  <c r="Q112" i="8"/>
  <c r="R111" i="8"/>
  <c r="S111" i="8" s="1"/>
  <c r="Q111" i="8"/>
  <c r="R110" i="8"/>
  <c r="S110" i="8" s="1"/>
  <c r="Q110" i="8"/>
  <c r="S109" i="8"/>
  <c r="R109" i="8"/>
  <c r="Q109" i="8"/>
  <c r="R108" i="8"/>
  <c r="S108" i="8" s="1"/>
  <c r="Q108" i="8"/>
  <c r="R107" i="8"/>
  <c r="S107" i="8" s="1"/>
  <c r="Q107" i="8"/>
  <c r="R106" i="8"/>
  <c r="S106" i="8" s="1"/>
  <c r="Q106" i="8"/>
  <c r="R105" i="8"/>
  <c r="S105" i="8" s="1"/>
  <c r="Q105" i="8"/>
  <c r="R104" i="8"/>
  <c r="S104" i="8" s="1"/>
  <c r="Q104" i="8"/>
  <c r="R103" i="8"/>
  <c r="S103" i="8" s="1"/>
  <c r="Q103" i="8"/>
  <c r="R102" i="8"/>
  <c r="S102" i="8" s="1"/>
  <c r="Q102" i="8"/>
  <c r="S101" i="8"/>
  <c r="R101" i="8"/>
  <c r="Q101" i="8"/>
  <c r="R100" i="8"/>
  <c r="S100" i="8" s="1"/>
  <c r="Q100" i="8"/>
  <c r="R99" i="8"/>
  <c r="S99" i="8" s="1"/>
  <c r="Q99" i="8"/>
  <c r="R98" i="8"/>
  <c r="S98" i="8" s="1"/>
  <c r="Q98" i="8"/>
  <c r="R97" i="8"/>
  <c r="S97" i="8" s="1"/>
  <c r="Q97" i="8"/>
  <c r="R96" i="8"/>
  <c r="S96" i="8" s="1"/>
  <c r="Q96" i="8"/>
  <c r="R95" i="8"/>
  <c r="S95" i="8" s="1"/>
  <c r="Q95" i="8"/>
  <c r="R94" i="8"/>
  <c r="S94" i="8" s="1"/>
  <c r="Q94" i="8"/>
  <c r="S93" i="8"/>
  <c r="R93" i="8"/>
  <c r="Q93" i="8"/>
  <c r="R92" i="8"/>
  <c r="S92" i="8" s="1"/>
  <c r="Q92" i="8"/>
  <c r="R91" i="8"/>
  <c r="S91" i="8" s="1"/>
  <c r="Q91" i="8"/>
  <c r="R90" i="8"/>
  <c r="S90" i="8" s="1"/>
  <c r="Q90" i="8"/>
  <c r="T89" i="8"/>
  <c r="T251" i="8" s="1"/>
  <c r="R89" i="8"/>
  <c r="S89" i="8" s="1"/>
  <c r="Q89" i="8"/>
  <c r="R88" i="8"/>
  <c r="S88" i="8" s="1"/>
  <c r="Q88" i="8"/>
  <c r="R87" i="8"/>
  <c r="S87" i="8" s="1"/>
  <c r="Q87" i="8"/>
  <c r="R86" i="8"/>
  <c r="S86" i="8" s="1"/>
  <c r="Q86" i="8"/>
  <c r="R85" i="8"/>
  <c r="S85" i="8" s="1"/>
  <c r="Q85" i="8"/>
  <c r="R84" i="8"/>
  <c r="S84" i="8" s="1"/>
  <c r="Q84" i="8"/>
  <c r="R83" i="8"/>
  <c r="S83" i="8" s="1"/>
  <c r="Q83" i="8"/>
  <c r="S82" i="8"/>
  <c r="R82" i="8"/>
  <c r="Q82" i="8"/>
  <c r="R81" i="8"/>
  <c r="S81" i="8" s="1"/>
  <c r="Q81" i="8"/>
  <c r="R80" i="8"/>
  <c r="S80" i="8" s="1"/>
  <c r="Q80" i="8"/>
  <c r="R79" i="8"/>
  <c r="R251" i="8" s="1"/>
  <c r="Q79" i="8"/>
  <c r="S9" i="8"/>
  <c r="Q251" i="8" l="1"/>
  <c r="L55" i="10"/>
  <c r="W56" i="10" s="1"/>
  <c r="S79" i="8"/>
  <c r="S251" i="8" s="1"/>
  <c r="U252" i="8" s="1"/>
  <c r="S86" i="12" l="1"/>
  <c r="R86" i="12"/>
  <c r="B86" i="12"/>
  <c r="S85" i="12"/>
  <c r="R84" i="12"/>
  <c r="C83" i="12"/>
  <c r="P83" i="12" s="1"/>
  <c r="P86" i="12" s="1"/>
  <c r="O82" i="12"/>
  <c r="O86" i="12" s="1"/>
  <c r="C81" i="12"/>
  <c r="M81" i="12" s="1"/>
  <c r="C80" i="12"/>
  <c r="M80" i="12" s="1"/>
  <c r="C79" i="12"/>
  <c r="M79" i="12" s="1"/>
  <c r="M78" i="12"/>
  <c r="C78" i="12"/>
  <c r="C77" i="12"/>
  <c r="M77" i="12" s="1"/>
  <c r="C76" i="12"/>
  <c r="M76" i="12" s="1"/>
  <c r="C75" i="12"/>
  <c r="M75" i="12" s="1"/>
  <c r="M74" i="12"/>
  <c r="Q73" i="12"/>
  <c r="C72" i="12"/>
  <c r="Q72" i="12" s="1"/>
  <c r="C71" i="12"/>
  <c r="Q71" i="12" s="1"/>
  <c r="C70" i="12"/>
  <c r="Q70" i="12" s="1"/>
  <c r="C69" i="12"/>
  <c r="Q69" i="12" s="1"/>
  <c r="C68" i="12"/>
  <c r="Q68" i="12" s="1"/>
  <c r="C67" i="12"/>
  <c r="Q67" i="12" s="1"/>
  <c r="C66" i="12"/>
  <c r="Q66" i="12" s="1"/>
  <c r="C65" i="12"/>
  <c r="Q65" i="12" s="1"/>
  <c r="C64" i="12"/>
  <c r="Q64" i="12" s="1"/>
  <c r="C63" i="12"/>
  <c r="Q63" i="12" s="1"/>
  <c r="C62" i="12"/>
  <c r="Q62" i="12" s="1"/>
  <c r="C61" i="12"/>
  <c r="Q61" i="12" s="1"/>
  <c r="C60" i="12"/>
  <c r="Q60" i="12" s="1"/>
  <c r="C59" i="12"/>
  <c r="Q59" i="12" s="1"/>
  <c r="C58" i="12"/>
  <c r="Q58" i="12" s="1"/>
  <c r="C57" i="12"/>
  <c r="Q57" i="12" s="1"/>
  <c r="C56" i="12"/>
  <c r="Q56" i="12" s="1"/>
  <c r="C55" i="12"/>
  <c r="Q55" i="12" s="1"/>
  <c r="C54" i="12"/>
  <c r="Q54" i="12" s="1"/>
  <c r="N53" i="12"/>
  <c r="N86" i="12" s="1"/>
  <c r="C53" i="12"/>
  <c r="L52" i="12"/>
  <c r="L51" i="12"/>
  <c r="L50" i="12"/>
  <c r="L86" i="12" s="1"/>
  <c r="L49" i="12"/>
  <c r="K46" i="12"/>
  <c r="K45" i="12"/>
  <c r="K86" i="12" s="1"/>
  <c r="J42" i="12"/>
  <c r="J86" i="12" s="1"/>
  <c r="J41" i="12"/>
  <c r="H40" i="12"/>
  <c r="H39" i="12"/>
  <c r="H38" i="12"/>
  <c r="H86" i="12" s="1"/>
  <c r="H37" i="12"/>
  <c r="G34" i="12"/>
  <c r="G33" i="12"/>
  <c r="G86" i="12" s="1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86" i="12" s="1"/>
  <c r="I11" i="12"/>
  <c r="F10" i="12"/>
  <c r="F9" i="12"/>
  <c r="F86" i="12" s="1"/>
  <c r="E8" i="12"/>
  <c r="E86" i="12" s="1"/>
  <c r="E7" i="12"/>
  <c r="M86" i="12" l="1"/>
  <c r="S87" i="12" s="1"/>
  <c r="Q86" i="12"/>
  <c r="M52" i="2" l="1"/>
  <c r="M48" i="2"/>
  <c r="L52" i="2" l="1"/>
  <c r="B52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52" i="2" s="1"/>
  <c r="K16" i="2"/>
  <c r="H16" i="2"/>
  <c r="E16" i="2"/>
  <c r="H15" i="2"/>
  <c r="E15" i="2"/>
  <c r="K14" i="2"/>
  <c r="J14" i="2"/>
  <c r="H14" i="2"/>
  <c r="G14" i="2"/>
  <c r="E14" i="2"/>
  <c r="K13" i="2"/>
  <c r="H13" i="2"/>
  <c r="E13" i="2"/>
  <c r="K12" i="2"/>
  <c r="H12" i="2"/>
  <c r="E12" i="2"/>
  <c r="K11" i="2"/>
  <c r="H11" i="2"/>
  <c r="E11" i="2"/>
  <c r="K10" i="2"/>
  <c r="J10" i="2"/>
  <c r="H10" i="2"/>
  <c r="G10" i="2"/>
  <c r="F10" i="2"/>
  <c r="K9" i="2"/>
  <c r="H9" i="2"/>
  <c r="F9" i="2"/>
  <c r="K8" i="2"/>
  <c r="H8" i="2"/>
  <c r="F8" i="2"/>
  <c r="K7" i="2"/>
  <c r="H7" i="2"/>
  <c r="F7" i="2"/>
  <c r="K52" i="2" l="1"/>
  <c r="H52" i="2"/>
  <c r="F52" i="2"/>
  <c r="G52" i="2"/>
  <c r="J52" i="2"/>
  <c r="O53" i="2" s="1"/>
  <c r="E52" i="2"/>
  <c r="S1001" i="5" l="1"/>
  <c r="R1001" i="5"/>
  <c r="Q1001" i="5"/>
  <c r="P1001" i="5"/>
  <c r="O1001" i="5"/>
  <c r="N1001" i="5"/>
  <c r="M1001" i="5"/>
  <c r="L1001" i="5"/>
  <c r="K1001" i="5"/>
  <c r="J1001" i="5"/>
  <c r="I1001" i="5"/>
  <c r="H1001" i="5"/>
  <c r="G1001" i="5"/>
  <c r="T1000" i="5"/>
  <c r="E1000" i="5" s="1"/>
  <c r="T999" i="5"/>
  <c r="E999" i="5" s="1"/>
  <c r="T998" i="5"/>
  <c r="E998" i="5" s="1"/>
  <c r="T997" i="5"/>
  <c r="E997" i="5" s="1"/>
  <c r="T996" i="5"/>
  <c r="E996" i="5" s="1"/>
  <c r="T995" i="5"/>
  <c r="E995" i="5" s="1"/>
  <c r="T994" i="5"/>
  <c r="E994" i="5" s="1"/>
  <c r="T993" i="5"/>
  <c r="E993" i="5" s="1"/>
  <c r="T992" i="5"/>
  <c r="E992" i="5" s="1"/>
  <c r="T991" i="5"/>
  <c r="E991" i="5" s="1"/>
  <c r="T990" i="5"/>
  <c r="E990" i="5" s="1"/>
  <c r="T989" i="5"/>
  <c r="E989" i="5" s="1"/>
  <c r="T988" i="5"/>
  <c r="E988" i="5" s="1"/>
  <c r="T987" i="5"/>
  <c r="E987" i="5" s="1"/>
  <c r="T986" i="5"/>
  <c r="E986" i="5" s="1"/>
  <c r="T985" i="5"/>
  <c r="E985" i="5" s="1"/>
  <c r="T984" i="5"/>
  <c r="E984" i="5" s="1"/>
  <c r="T983" i="5"/>
  <c r="E983" i="5" s="1"/>
  <c r="T982" i="5"/>
  <c r="E982" i="5" s="1"/>
  <c r="T981" i="5"/>
  <c r="E981" i="5" s="1"/>
  <c r="T980" i="5"/>
  <c r="E980" i="5" s="1"/>
  <c r="T979" i="5"/>
  <c r="E979" i="5" s="1"/>
  <c r="T978" i="5"/>
  <c r="E978" i="5" s="1"/>
  <c r="T977" i="5"/>
  <c r="E977" i="5" s="1"/>
  <c r="T976" i="5"/>
  <c r="E976" i="5" s="1"/>
  <c r="T975" i="5"/>
  <c r="E975" i="5" s="1"/>
  <c r="T974" i="5"/>
  <c r="E974" i="5" s="1"/>
  <c r="T973" i="5"/>
  <c r="E973" i="5" s="1"/>
  <c r="T972" i="5"/>
  <c r="E972" i="5" s="1"/>
  <c r="T971" i="5"/>
  <c r="E971" i="5" s="1"/>
  <c r="T970" i="5"/>
  <c r="E970" i="5" s="1"/>
  <c r="T969" i="5"/>
  <c r="E969" i="5" s="1"/>
  <c r="T968" i="5"/>
  <c r="E968" i="5" s="1"/>
  <c r="T967" i="5"/>
  <c r="E967" i="5" s="1"/>
  <c r="T966" i="5"/>
  <c r="E966" i="5" s="1"/>
  <c r="T965" i="5"/>
  <c r="E965" i="5" s="1"/>
  <c r="T964" i="5"/>
  <c r="E964" i="5" s="1"/>
  <c r="T963" i="5"/>
  <c r="E963" i="5" s="1"/>
  <c r="T962" i="5"/>
  <c r="E962" i="5" s="1"/>
  <c r="T961" i="5"/>
  <c r="E961" i="5" s="1"/>
  <c r="T960" i="5"/>
  <c r="E960" i="5" s="1"/>
  <c r="T959" i="5"/>
  <c r="E959" i="5" s="1"/>
  <c r="T958" i="5"/>
  <c r="E958" i="5" s="1"/>
  <c r="T957" i="5"/>
  <c r="E957" i="5" s="1"/>
  <c r="T956" i="5"/>
  <c r="E956" i="5" s="1"/>
  <c r="T955" i="5"/>
  <c r="E955" i="5" s="1"/>
  <c r="T954" i="5"/>
  <c r="E954" i="5" s="1"/>
  <c r="T953" i="5"/>
  <c r="E953" i="5" s="1"/>
  <c r="T952" i="5"/>
  <c r="E952" i="5" s="1"/>
  <c r="T951" i="5"/>
  <c r="E951" i="5" s="1"/>
  <c r="T950" i="5"/>
  <c r="E950" i="5" s="1"/>
  <c r="T949" i="5"/>
  <c r="E949" i="5" s="1"/>
  <c r="T948" i="5"/>
  <c r="E948" i="5" s="1"/>
  <c r="T947" i="5"/>
  <c r="E947" i="5" s="1"/>
  <c r="T946" i="5"/>
  <c r="E946" i="5" s="1"/>
  <c r="T945" i="5"/>
  <c r="E945" i="5" s="1"/>
  <c r="T944" i="5"/>
  <c r="E944" i="5" s="1"/>
  <c r="T943" i="5"/>
  <c r="E943" i="5" s="1"/>
  <c r="T942" i="5"/>
  <c r="E942" i="5" s="1"/>
  <c r="T941" i="5"/>
  <c r="E941" i="5" s="1"/>
  <c r="T940" i="5"/>
  <c r="E940" i="5" s="1"/>
  <c r="T939" i="5"/>
  <c r="E939" i="5" s="1"/>
  <c r="T938" i="5"/>
  <c r="E938" i="5" s="1"/>
  <c r="T937" i="5"/>
  <c r="E937" i="5" s="1"/>
  <c r="T936" i="5"/>
  <c r="E936" i="5" s="1"/>
  <c r="T935" i="5"/>
  <c r="E935" i="5" s="1"/>
  <c r="T934" i="5"/>
  <c r="E934" i="5" s="1"/>
  <c r="T933" i="5"/>
  <c r="E933" i="5" s="1"/>
  <c r="T932" i="5"/>
  <c r="E932" i="5" s="1"/>
  <c r="T931" i="5"/>
  <c r="E931" i="5" s="1"/>
  <c r="T930" i="5"/>
  <c r="E930" i="5" s="1"/>
  <c r="T929" i="5"/>
  <c r="E929" i="5" s="1"/>
  <c r="T928" i="5"/>
  <c r="E928" i="5" s="1"/>
  <c r="T927" i="5"/>
  <c r="E927" i="5" s="1"/>
  <c r="T926" i="5"/>
  <c r="E926" i="5" s="1"/>
  <c r="T925" i="5"/>
  <c r="E925" i="5" s="1"/>
  <c r="T924" i="5"/>
  <c r="E924" i="5" s="1"/>
  <c r="T923" i="5"/>
  <c r="E923" i="5" s="1"/>
  <c r="T922" i="5"/>
  <c r="E922" i="5" s="1"/>
  <c r="T921" i="5"/>
  <c r="E921" i="5" s="1"/>
  <c r="T920" i="5"/>
  <c r="E920" i="5" s="1"/>
  <c r="T919" i="5"/>
  <c r="E919" i="5" s="1"/>
  <c r="T918" i="5"/>
  <c r="E918" i="5" s="1"/>
  <c r="T917" i="5"/>
  <c r="E917" i="5" s="1"/>
  <c r="T916" i="5"/>
  <c r="E916" i="5" s="1"/>
  <c r="T915" i="5"/>
  <c r="E915" i="5" s="1"/>
  <c r="T914" i="5"/>
  <c r="E914" i="5" s="1"/>
  <c r="T913" i="5"/>
  <c r="E913" i="5" s="1"/>
  <c r="T912" i="5"/>
  <c r="E912" i="5" s="1"/>
  <c r="T911" i="5"/>
  <c r="E911" i="5" s="1"/>
  <c r="T910" i="5"/>
  <c r="E910" i="5" s="1"/>
  <c r="T909" i="5"/>
  <c r="E909" i="5" s="1"/>
  <c r="T908" i="5"/>
  <c r="E908" i="5" s="1"/>
  <c r="T907" i="5"/>
  <c r="E907" i="5" s="1"/>
  <c r="T906" i="5"/>
  <c r="E906" i="5" s="1"/>
  <c r="T905" i="5"/>
  <c r="E905" i="5" s="1"/>
  <c r="T904" i="5"/>
  <c r="E904" i="5" s="1"/>
  <c r="T903" i="5"/>
  <c r="E903" i="5" s="1"/>
  <c r="T902" i="5"/>
  <c r="E902" i="5" s="1"/>
  <c r="T901" i="5"/>
  <c r="E901" i="5" s="1"/>
  <c r="T900" i="5"/>
  <c r="E900" i="5" s="1"/>
  <c r="T899" i="5"/>
  <c r="E899" i="5" s="1"/>
  <c r="T898" i="5"/>
  <c r="E898" i="5" s="1"/>
  <c r="T897" i="5"/>
  <c r="E897" i="5" s="1"/>
  <c r="T896" i="5"/>
  <c r="E896" i="5" s="1"/>
  <c r="T895" i="5"/>
  <c r="E895" i="5" s="1"/>
  <c r="T894" i="5"/>
  <c r="E894" i="5" s="1"/>
  <c r="T893" i="5"/>
  <c r="E893" i="5" s="1"/>
  <c r="T892" i="5"/>
  <c r="E892" i="5" s="1"/>
  <c r="T891" i="5"/>
  <c r="E891" i="5" s="1"/>
  <c r="T890" i="5"/>
  <c r="E890" i="5" s="1"/>
  <c r="T889" i="5"/>
  <c r="E889" i="5" s="1"/>
  <c r="T888" i="5"/>
  <c r="E888" i="5" s="1"/>
  <c r="T887" i="5"/>
  <c r="E887" i="5" s="1"/>
  <c r="T886" i="5"/>
  <c r="E886" i="5" s="1"/>
  <c r="T885" i="5"/>
  <c r="E885" i="5" s="1"/>
  <c r="T884" i="5"/>
  <c r="E884" i="5" s="1"/>
  <c r="T883" i="5"/>
  <c r="E883" i="5" s="1"/>
  <c r="T882" i="5"/>
  <c r="E882" i="5" s="1"/>
  <c r="T881" i="5"/>
  <c r="E881" i="5" s="1"/>
  <c r="T880" i="5"/>
  <c r="E880" i="5" s="1"/>
  <c r="T879" i="5"/>
  <c r="E879" i="5" s="1"/>
  <c r="T878" i="5"/>
  <c r="E878" i="5" s="1"/>
  <c r="T877" i="5"/>
  <c r="E877" i="5" s="1"/>
  <c r="T876" i="5"/>
  <c r="E876" i="5" s="1"/>
  <c r="T875" i="5"/>
  <c r="E875" i="5" s="1"/>
  <c r="T874" i="5"/>
  <c r="E874" i="5" s="1"/>
  <c r="T873" i="5"/>
  <c r="E873" i="5" s="1"/>
  <c r="T872" i="5"/>
  <c r="E872" i="5" s="1"/>
  <c r="T871" i="5"/>
  <c r="E871" i="5" s="1"/>
  <c r="T870" i="5"/>
  <c r="E870" i="5"/>
  <c r="T869" i="5"/>
  <c r="E869" i="5" s="1"/>
  <c r="T868" i="5"/>
  <c r="E868" i="5"/>
  <c r="T867" i="5"/>
  <c r="E867" i="5" s="1"/>
  <c r="T866" i="5"/>
  <c r="E866" i="5"/>
  <c r="T865" i="5"/>
  <c r="E865" i="5" s="1"/>
  <c r="T864" i="5"/>
  <c r="E864" i="5" s="1"/>
  <c r="T863" i="5"/>
  <c r="E863" i="5" s="1"/>
  <c r="T862" i="5"/>
  <c r="E862" i="5"/>
  <c r="T861" i="5"/>
  <c r="E861" i="5" s="1"/>
  <c r="T860" i="5"/>
  <c r="E860" i="5"/>
  <c r="T859" i="5"/>
  <c r="E859" i="5" s="1"/>
  <c r="T858" i="5"/>
  <c r="E858" i="5"/>
  <c r="T857" i="5"/>
  <c r="E857" i="5" s="1"/>
  <c r="T856" i="5"/>
  <c r="E856" i="5" s="1"/>
  <c r="T855" i="5"/>
  <c r="E855" i="5" s="1"/>
  <c r="T854" i="5"/>
  <c r="E854" i="5"/>
  <c r="T853" i="5"/>
  <c r="E853" i="5" s="1"/>
  <c r="T852" i="5"/>
  <c r="E852" i="5"/>
  <c r="T851" i="5"/>
  <c r="E851" i="5" s="1"/>
  <c r="T850" i="5"/>
  <c r="E850" i="5"/>
  <c r="T849" i="5"/>
  <c r="E849" i="5" s="1"/>
  <c r="T848" i="5"/>
  <c r="E848" i="5" s="1"/>
  <c r="T847" i="5"/>
  <c r="E847" i="5" s="1"/>
  <c r="T846" i="5"/>
  <c r="E846" i="5"/>
  <c r="T845" i="5"/>
  <c r="E845" i="5" s="1"/>
  <c r="T844" i="5"/>
  <c r="E844" i="5"/>
  <c r="T843" i="5"/>
  <c r="E843" i="5" s="1"/>
  <c r="T842" i="5"/>
  <c r="E842" i="5"/>
  <c r="T841" i="5"/>
  <c r="E841" i="5" s="1"/>
  <c r="T840" i="5"/>
  <c r="E840" i="5" s="1"/>
  <c r="T839" i="5"/>
  <c r="E839" i="5" s="1"/>
  <c r="T838" i="5"/>
  <c r="E838" i="5"/>
  <c r="T837" i="5"/>
  <c r="E837" i="5" s="1"/>
  <c r="T836" i="5"/>
  <c r="E836" i="5"/>
  <c r="T835" i="5"/>
  <c r="E835" i="5" s="1"/>
  <c r="T834" i="5"/>
  <c r="E834" i="5"/>
  <c r="T833" i="5"/>
  <c r="E833" i="5" s="1"/>
  <c r="T832" i="5"/>
  <c r="E832" i="5" s="1"/>
  <c r="T831" i="5"/>
  <c r="E831" i="5" s="1"/>
  <c r="T830" i="5"/>
  <c r="E830" i="5"/>
  <c r="T829" i="5"/>
  <c r="E829" i="5"/>
  <c r="T828" i="5"/>
  <c r="E828" i="5"/>
  <c r="T827" i="5"/>
  <c r="E827" i="5"/>
  <c r="T826" i="5"/>
  <c r="E826" i="5"/>
  <c r="T825" i="5"/>
  <c r="E825" i="5"/>
  <c r="T824" i="5"/>
  <c r="E824" i="5"/>
  <c r="T823" i="5"/>
  <c r="E823" i="5"/>
  <c r="T822" i="5"/>
  <c r="E822" i="5" s="1"/>
  <c r="T821" i="5"/>
  <c r="E821" i="5"/>
  <c r="T820" i="5"/>
  <c r="E820" i="5"/>
  <c r="T819" i="5"/>
  <c r="E819" i="5"/>
  <c r="T818" i="5"/>
  <c r="E818" i="5"/>
  <c r="T817" i="5"/>
  <c r="E817" i="5"/>
  <c r="T816" i="5"/>
  <c r="E816" i="5"/>
  <c r="T815" i="5"/>
  <c r="E815" i="5"/>
  <c r="T814" i="5"/>
  <c r="E814" i="5"/>
  <c r="T813" i="5"/>
  <c r="E813" i="5"/>
  <c r="T812" i="5"/>
  <c r="E812" i="5"/>
  <c r="T811" i="5"/>
  <c r="E811" i="5"/>
  <c r="T810" i="5"/>
  <c r="E810" i="5"/>
  <c r="T809" i="5"/>
  <c r="E809" i="5"/>
  <c r="T808" i="5"/>
  <c r="E808" i="5"/>
  <c r="T807" i="5"/>
  <c r="E807" i="5"/>
  <c r="T806" i="5"/>
  <c r="E806" i="5"/>
  <c r="T805" i="5"/>
  <c r="E805" i="5"/>
  <c r="T804" i="5"/>
  <c r="E804" i="5"/>
  <c r="T803" i="5"/>
  <c r="E803" i="5"/>
  <c r="T802" i="5"/>
  <c r="E802" i="5"/>
  <c r="T801" i="5"/>
  <c r="E801" i="5"/>
  <c r="T800" i="5"/>
  <c r="E800" i="5"/>
  <c r="T799" i="5"/>
  <c r="E799" i="5"/>
  <c r="T798" i="5"/>
  <c r="E798" i="5"/>
  <c r="T797" i="5"/>
  <c r="E797" i="5"/>
  <c r="T796" i="5"/>
  <c r="E796" i="5"/>
  <c r="T795" i="5"/>
  <c r="E795" i="5"/>
  <c r="T794" i="5"/>
  <c r="E794" i="5"/>
  <c r="T793" i="5"/>
  <c r="E793" i="5"/>
  <c r="T792" i="5"/>
  <c r="E792" i="5"/>
  <c r="T791" i="5"/>
  <c r="E791" i="5"/>
  <c r="T790" i="5"/>
  <c r="E790" i="5"/>
  <c r="T789" i="5"/>
  <c r="E789" i="5"/>
  <c r="T788" i="5"/>
  <c r="E788" i="5"/>
  <c r="T787" i="5"/>
  <c r="E787" i="5"/>
  <c r="T786" i="5"/>
  <c r="E786" i="5"/>
  <c r="T785" i="5"/>
  <c r="E785" i="5"/>
  <c r="T784" i="5"/>
  <c r="E784" i="5"/>
  <c r="T783" i="5"/>
  <c r="E783" i="5"/>
  <c r="T782" i="5"/>
  <c r="E782" i="5"/>
  <c r="T781" i="5"/>
  <c r="E781" i="5" s="1"/>
  <c r="T780" i="5"/>
  <c r="E780" i="5"/>
  <c r="T779" i="5"/>
  <c r="E779" i="5"/>
  <c r="T778" i="5"/>
  <c r="E778" i="5"/>
  <c r="T777" i="5"/>
  <c r="E777" i="5"/>
  <c r="T776" i="5"/>
  <c r="E776" i="5"/>
  <c r="T775" i="5"/>
  <c r="E775" i="5"/>
  <c r="T774" i="5"/>
  <c r="E774" i="5"/>
  <c r="T773" i="5"/>
  <c r="E773" i="5"/>
  <c r="T772" i="5"/>
  <c r="E772" i="5"/>
  <c r="T771" i="5"/>
  <c r="E771" i="5"/>
  <c r="T770" i="5"/>
  <c r="E770" i="5"/>
  <c r="T769" i="5"/>
  <c r="E769" i="5"/>
  <c r="T768" i="5"/>
  <c r="E768" i="5"/>
  <c r="T767" i="5"/>
  <c r="E767" i="5"/>
  <c r="T766" i="5"/>
  <c r="E766" i="5"/>
  <c r="T765" i="5"/>
  <c r="E765" i="5"/>
  <c r="T764" i="5"/>
  <c r="E764" i="5"/>
  <c r="T763" i="5"/>
  <c r="E763" i="5" s="1"/>
  <c r="T762" i="5"/>
  <c r="E762" i="5"/>
  <c r="T761" i="5"/>
  <c r="E761" i="5" s="1"/>
  <c r="T760" i="5"/>
  <c r="E760" i="5"/>
  <c r="T759" i="5"/>
  <c r="E759" i="5" s="1"/>
  <c r="T758" i="5"/>
  <c r="E758" i="5"/>
  <c r="T757" i="5"/>
  <c r="E757" i="5" s="1"/>
  <c r="T756" i="5"/>
  <c r="E756" i="5"/>
  <c r="T755" i="5"/>
  <c r="E755" i="5" s="1"/>
  <c r="T754" i="5"/>
  <c r="E754" i="5"/>
  <c r="T753" i="5"/>
  <c r="E753" i="5" s="1"/>
  <c r="T752" i="5"/>
  <c r="E752" i="5"/>
  <c r="T751" i="5"/>
  <c r="E751" i="5" s="1"/>
  <c r="T750" i="5"/>
  <c r="E750" i="5"/>
  <c r="T749" i="5"/>
  <c r="E749" i="5" s="1"/>
  <c r="T748" i="5"/>
  <c r="E748" i="5"/>
  <c r="T747" i="5"/>
  <c r="E747" i="5" s="1"/>
  <c r="T746" i="5"/>
  <c r="E746" i="5"/>
  <c r="T745" i="5"/>
  <c r="E745" i="5" s="1"/>
  <c r="T744" i="5"/>
  <c r="E744" i="5"/>
  <c r="T743" i="5"/>
  <c r="E743" i="5" s="1"/>
  <c r="T742" i="5"/>
  <c r="E742" i="5"/>
  <c r="T741" i="5"/>
  <c r="E741" i="5" s="1"/>
  <c r="T740" i="5"/>
  <c r="E740" i="5"/>
  <c r="T739" i="5"/>
  <c r="E739" i="5" s="1"/>
  <c r="T738" i="5"/>
  <c r="E738" i="5"/>
  <c r="T737" i="5"/>
  <c r="E737" i="5" s="1"/>
  <c r="T736" i="5"/>
  <c r="E736" i="5"/>
  <c r="T735" i="5"/>
  <c r="E735" i="5" s="1"/>
  <c r="T734" i="5"/>
  <c r="E734" i="5"/>
  <c r="T733" i="5"/>
  <c r="E733" i="5" s="1"/>
  <c r="T732" i="5"/>
  <c r="E732" i="5"/>
  <c r="T731" i="5"/>
  <c r="E731" i="5" s="1"/>
  <c r="T730" i="5"/>
  <c r="E730" i="5"/>
  <c r="T729" i="5"/>
  <c r="E729" i="5" s="1"/>
  <c r="T728" i="5"/>
  <c r="E728" i="5"/>
  <c r="T727" i="5"/>
  <c r="E727" i="5" s="1"/>
  <c r="T726" i="5"/>
  <c r="E726" i="5" s="1"/>
  <c r="T725" i="5"/>
  <c r="E725" i="5" s="1"/>
  <c r="T724" i="5"/>
  <c r="E724" i="5" s="1"/>
  <c r="T723" i="5"/>
  <c r="E723" i="5"/>
  <c r="T722" i="5"/>
  <c r="E722" i="5" s="1"/>
  <c r="T721" i="5"/>
  <c r="E721" i="5"/>
  <c r="T720" i="5"/>
  <c r="E720" i="5" s="1"/>
  <c r="T719" i="5"/>
  <c r="E719" i="5" s="1"/>
  <c r="T718" i="5"/>
  <c r="E718" i="5" s="1"/>
  <c r="T717" i="5"/>
  <c r="E717" i="5" s="1"/>
  <c r="T716" i="5"/>
  <c r="E716" i="5" s="1"/>
  <c r="T715" i="5"/>
  <c r="E715" i="5"/>
  <c r="T714" i="5"/>
  <c r="E714" i="5" s="1"/>
  <c r="T713" i="5"/>
  <c r="E713" i="5"/>
  <c r="T712" i="5"/>
  <c r="E712" i="5" s="1"/>
  <c r="T711" i="5"/>
  <c r="E711" i="5" s="1"/>
  <c r="T710" i="5"/>
  <c r="E710" i="5" s="1"/>
  <c r="T709" i="5"/>
  <c r="E709" i="5" s="1"/>
  <c r="T708" i="5"/>
  <c r="E708" i="5" s="1"/>
  <c r="T707" i="5"/>
  <c r="E707" i="5" s="1"/>
  <c r="T706" i="5"/>
  <c r="E706" i="5" s="1"/>
  <c r="T705" i="5"/>
  <c r="E705" i="5" s="1"/>
  <c r="T704" i="5"/>
  <c r="E704" i="5" s="1"/>
  <c r="T703" i="5"/>
  <c r="E703" i="5" s="1"/>
  <c r="T702" i="5"/>
  <c r="E702" i="5" s="1"/>
  <c r="T701" i="5"/>
  <c r="E701" i="5"/>
  <c r="T700" i="5"/>
  <c r="E700" i="5" s="1"/>
  <c r="T699" i="5"/>
  <c r="E699" i="5" s="1"/>
  <c r="T698" i="5"/>
  <c r="E698" i="5" s="1"/>
  <c r="T697" i="5"/>
  <c r="E697" i="5" s="1"/>
  <c r="T696" i="5"/>
  <c r="E696" i="5" s="1"/>
  <c r="T695" i="5"/>
  <c r="E695" i="5" s="1"/>
  <c r="T694" i="5"/>
  <c r="E694" i="5" s="1"/>
  <c r="T693" i="5"/>
  <c r="E693" i="5" s="1"/>
  <c r="T692" i="5"/>
  <c r="E692" i="5" s="1"/>
  <c r="T691" i="5"/>
  <c r="E691" i="5" s="1"/>
  <c r="T690" i="5"/>
  <c r="E690" i="5" s="1"/>
  <c r="T689" i="5"/>
  <c r="E689" i="5" s="1"/>
  <c r="T688" i="5"/>
  <c r="E688" i="5" s="1"/>
  <c r="T687" i="5"/>
  <c r="E687" i="5" s="1"/>
  <c r="T686" i="5"/>
  <c r="E686" i="5" s="1"/>
  <c r="T685" i="5"/>
  <c r="E685" i="5"/>
  <c r="T684" i="5"/>
  <c r="E684" i="5" s="1"/>
  <c r="T683" i="5"/>
  <c r="E683" i="5" s="1"/>
  <c r="T682" i="5"/>
  <c r="E682" i="5" s="1"/>
  <c r="T681" i="5"/>
  <c r="E681" i="5" s="1"/>
  <c r="T680" i="5"/>
  <c r="E680" i="5" s="1"/>
  <c r="T679" i="5"/>
  <c r="E679" i="5" s="1"/>
  <c r="T678" i="5"/>
  <c r="E678" i="5" s="1"/>
  <c r="T677" i="5"/>
  <c r="E677" i="5" s="1"/>
  <c r="T676" i="5"/>
  <c r="E676" i="5" s="1"/>
  <c r="T675" i="5"/>
  <c r="E675" i="5" s="1"/>
  <c r="T674" i="5"/>
  <c r="E674" i="5" s="1"/>
  <c r="T673" i="5"/>
  <c r="E673" i="5"/>
  <c r="T672" i="5"/>
  <c r="E672" i="5" s="1"/>
  <c r="T671" i="5"/>
  <c r="E671" i="5" s="1"/>
  <c r="T670" i="5"/>
  <c r="E670" i="5" s="1"/>
  <c r="T669" i="5"/>
  <c r="E669" i="5"/>
  <c r="T668" i="5"/>
  <c r="E668" i="5" s="1"/>
  <c r="T667" i="5"/>
  <c r="E667" i="5" s="1"/>
  <c r="T666" i="5"/>
  <c r="E666" i="5" s="1"/>
  <c r="T665" i="5"/>
  <c r="E665" i="5" s="1"/>
  <c r="T664" i="5"/>
  <c r="E664" i="5" s="1"/>
  <c r="T663" i="5"/>
  <c r="E663" i="5" s="1"/>
  <c r="T662" i="5"/>
  <c r="E662" i="5" s="1"/>
  <c r="T661" i="5"/>
  <c r="E661" i="5"/>
  <c r="T660" i="5"/>
  <c r="E660" i="5" s="1"/>
  <c r="T659" i="5"/>
  <c r="E659" i="5" s="1"/>
  <c r="T658" i="5"/>
  <c r="E658" i="5" s="1"/>
  <c r="T657" i="5"/>
  <c r="E657" i="5" s="1"/>
  <c r="T656" i="5"/>
  <c r="E656" i="5" s="1"/>
  <c r="T655" i="5"/>
  <c r="E655" i="5" s="1"/>
  <c r="T654" i="5"/>
  <c r="E654" i="5" s="1"/>
  <c r="T653" i="5"/>
  <c r="E653" i="5"/>
  <c r="T652" i="5"/>
  <c r="E652" i="5" s="1"/>
  <c r="T651" i="5"/>
  <c r="E651" i="5" s="1"/>
  <c r="T650" i="5"/>
  <c r="E650" i="5" s="1"/>
  <c r="T649" i="5"/>
  <c r="E649" i="5" s="1"/>
  <c r="T648" i="5"/>
  <c r="E648" i="5" s="1"/>
  <c r="T647" i="5"/>
  <c r="E647" i="5"/>
  <c r="T646" i="5"/>
  <c r="E646" i="5" s="1"/>
  <c r="T645" i="5"/>
  <c r="E645" i="5" s="1"/>
  <c r="T644" i="5"/>
  <c r="E644" i="5" s="1"/>
  <c r="T643" i="5"/>
  <c r="E643" i="5" s="1"/>
  <c r="T642" i="5"/>
  <c r="E642" i="5" s="1"/>
  <c r="T641" i="5"/>
  <c r="E641" i="5"/>
  <c r="T640" i="5"/>
  <c r="E640" i="5" s="1"/>
  <c r="T639" i="5"/>
  <c r="E639" i="5" s="1"/>
  <c r="T638" i="5"/>
  <c r="E638" i="5" s="1"/>
  <c r="T637" i="5"/>
  <c r="E637" i="5"/>
  <c r="T636" i="5"/>
  <c r="E636" i="5" s="1"/>
  <c r="T635" i="5"/>
  <c r="E635" i="5" s="1"/>
  <c r="T634" i="5"/>
  <c r="E634" i="5" s="1"/>
  <c r="T633" i="5"/>
  <c r="E633" i="5" s="1"/>
  <c r="T632" i="5"/>
  <c r="E632" i="5" s="1"/>
  <c r="T631" i="5"/>
  <c r="E631" i="5" s="1"/>
  <c r="T630" i="5"/>
  <c r="E630" i="5" s="1"/>
  <c r="T629" i="5"/>
  <c r="E629" i="5"/>
  <c r="T628" i="5"/>
  <c r="E628" i="5" s="1"/>
  <c r="T627" i="5"/>
  <c r="E627" i="5" s="1"/>
  <c r="T626" i="5"/>
  <c r="E626" i="5" s="1"/>
  <c r="T625" i="5"/>
  <c r="E625" i="5" s="1"/>
  <c r="T624" i="5"/>
  <c r="E624" i="5" s="1"/>
  <c r="T623" i="5"/>
  <c r="E623" i="5" s="1"/>
  <c r="T622" i="5"/>
  <c r="E622" i="5" s="1"/>
  <c r="T621" i="5"/>
  <c r="E621" i="5"/>
  <c r="T620" i="5"/>
  <c r="E620" i="5" s="1"/>
  <c r="T619" i="5"/>
  <c r="E619" i="5" s="1"/>
  <c r="T618" i="5"/>
  <c r="E618" i="5" s="1"/>
  <c r="T617" i="5"/>
  <c r="E617" i="5" s="1"/>
  <c r="T616" i="5"/>
  <c r="E616" i="5" s="1"/>
  <c r="T615" i="5"/>
  <c r="E615" i="5"/>
  <c r="T614" i="5"/>
  <c r="E614" i="5" s="1"/>
  <c r="T613" i="5"/>
  <c r="E613" i="5" s="1"/>
  <c r="T612" i="5"/>
  <c r="E612" i="5" s="1"/>
  <c r="T611" i="5"/>
  <c r="E611" i="5" s="1"/>
  <c r="T610" i="5"/>
  <c r="E610" i="5" s="1"/>
  <c r="T609" i="5"/>
  <c r="E609" i="5"/>
  <c r="T608" i="5"/>
  <c r="E608" i="5" s="1"/>
  <c r="T607" i="5"/>
  <c r="E607" i="5" s="1"/>
  <c r="T606" i="5"/>
  <c r="E606" i="5" s="1"/>
  <c r="T605" i="5"/>
  <c r="E605" i="5"/>
  <c r="T604" i="5"/>
  <c r="E604" i="5" s="1"/>
  <c r="T603" i="5"/>
  <c r="E603" i="5" s="1"/>
  <c r="T602" i="5"/>
  <c r="E602" i="5" s="1"/>
  <c r="T601" i="5"/>
  <c r="E601" i="5" s="1"/>
  <c r="T600" i="5"/>
  <c r="E600" i="5" s="1"/>
  <c r="T599" i="5"/>
  <c r="E599" i="5" s="1"/>
  <c r="T598" i="5"/>
  <c r="E598" i="5" s="1"/>
  <c r="T597" i="5"/>
  <c r="E597" i="5"/>
  <c r="T596" i="5"/>
  <c r="E596" i="5" s="1"/>
  <c r="T595" i="5"/>
  <c r="E595" i="5" s="1"/>
  <c r="T594" i="5"/>
  <c r="E594" i="5" s="1"/>
  <c r="T593" i="5"/>
  <c r="E593" i="5" s="1"/>
  <c r="T592" i="5"/>
  <c r="E592" i="5" s="1"/>
  <c r="T591" i="5"/>
  <c r="E591" i="5" s="1"/>
  <c r="T590" i="5"/>
  <c r="E590" i="5" s="1"/>
  <c r="T589" i="5"/>
  <c r="E589" i="5"/>
  <c r="T588" i="5"/>
  <c r="E588" i="5" s="1"/>
  <c r="T587" i="5"/>
  <c r="E587" i="5" s="1"/>
  <c r="T586" i="5"/>
  <c r="E586" i="5" s="1"/>
  <c r="T585" i="5"/>
  <c r="E585" i="5" s="1"/>
  <c r="T584" i="5"/>
  <c r="E584" i="5" s="1"/>
  <c r="T583" i="5"/>
  <c r="E583" i="5"/>
  <c r="T582" i="5"/>
  <c r="E582" i="5" s="1"/>
  <c r="T581" i="5"/>
  <c r="E581" i="5" s="1"/>
  <c r="T580" i="5"/>
  <c r="E580" i="5" s="1"/>
  <c r="T579" i="5"/>
  <c r="E579" i="5" s="1"/>
  <c r="T578" i="5"/>
  <c r="E578" i="5" s="1"/>
  <c r="T577" i="5"/>
  <c r="E577" i="5"/>
  <c r="T576" i="5"/>
  <c r="E576" i="5" s="1"/>
  <c r="T575" i="5"/>
  <c r="E575" i="5" s="1"/>
  <c r="T574" i="5"/>
  <c r="E574" i="5" s="1"/>
  <c r="T573" i="5"/>
  <c r="E573" i="5"/>
  <c r="T572" i="5"/>
  <c r="E572" i="5" s="1"/>
  <c r="T571" i="5"/>
  <c r="E571" i="5" s="1"/>
  <c r="T570" i="5"/>
  <c r="E570" i="5" s="1"/>
  <c r="T569" i="5"/>
  <c r="E569" i="5" s="1"/>
  <c r="T568" i="5"/>
  <c r="E568" i="5" s="1"/>
  <c r="T567" i="5"/>
  <c r="E567" i="5" s="1"/>
  <c r="T566" i="5"/>
  <c r="E566" i="5" s="1"/>
  <c r="T565" i="5"/>
  <c r="E565" i="5"/>
  <c r="T564" i="5"/>
  <c r="E564" i="5" s="1"/>
  <c r="T563" i="5"/>
  <c r="E563" i="5" s="1"/>
  <c r="T562" i="5"/>
  <c r="E562" i="5" s="1"/>
  <c r="T561" i="5"/>
  <c r="E561" i="5" s="1"/>
  <c r="T560" i="5"/>
  <c r="E560" i="5" s="1"/>
  <c r="T559" i="5"/>
  <c r="E559" i="5" s="1"/>
  <c r="T558" i="5"/>
  <c r="E558" i="5" s="1"/>
  <c r="T557" i="5"/>
  <c r="E557" i="5"/>
  <c r="T556" i="5"/>
  <c r="E556" i="5" s="1"/>
  <c r="T555" i="5"/>
  <c r="E555" i="5"/>
  <c r="T554" i="5"/>
  <c r="E554" i="5" s="1"/>
  <c r="T553" i="5"/>
  <c r="E553" i="5" s="1"/>
  <c r="T552" i="5"/>
  <c r="E552" i="5" s="1"/>
  <c r="T551" i="5"/>
  <c r="E551" i="5" s="1"/>
  <c r="T550" i="5"/>
  <c r="E550" i="5" s="1"/>
  <c r="T549" i="5"/>
  <c r="E549" i="5" s="1"/>
  <c r="T548" i="5"/>
  <c r="E548" i="5" s="1"/>
  <c r="T547" i="5"/>
  <c r="E547" i="5"/>
  <c r="T546" i="5"/>
  <c r="E546" i="5" s="1"/>
  <c r="T545" i="5"/>
  <c r="E545" i="5" s="1"/>
  <c r="T544" i="5"/>
  <c r="E544" i="5" s="1"/>
  <c r="T543" i="5"/>
  <c r="E543" i="5" s="1"/>
  <c r="T542" i="5"/>
  <c r="E542" i="5" s="1"/>
  <c r="T541" i="5"/>
  <c r="E541" i="5"/>
  <c r="T540" i="5"/>
  <c r="E540" i="5" s="1"/>
  <c r="T539" i="5"/>
  <c r="E539" i="5"/>
  <c r="T538" i="5"/>
  <c r="E538" i="5" s="1"/>
  <c r="T537" i="5"/>
  <c r="E537" i="5" s="1"/>
  <c r="T536" i="5"/>
  <c r="E536" i="5" s="1"/>
  <c r="T535" i="5"/>
  <c r="E535" i="5" s="1"/>
  <c r="T534" i="5"/>
  <c r="E534" i="5" s="1"/>
  <c r="T533" i="5"/>
  <c r="E533" i="5" s="1"/>
  <c r="T532" i="5"/>
  <c r="E532" i="5" s="1"/>
  <c r="T531" i="5"/>
  <c r="E531" i="5"/>
  <c r="T530" i="5"/>
  <c r="E530" i="5" s="1"/>
  <c r="T529" i="5"/>
  <c r="E529" i="5" s="1"/>
  <c r="T528" i="5"/>
  <c r="E528" i="5" s="1"/>
  <c r="T527" i="5"/>
  <c r="E527" i="5" s="1"/>
  <c r="T526" i="5"/>
  <c r="E526" i="5" s="1"/>
  <c r="T525" i="5"/>
  <c r="E525" i="5"/>
  <c r="T524" i="5"/>
  <c r="E524" i="5" s="1"/>
  <c r="T523" i="5"/>
  <c r="E523" i="5"/>
  <c r="T522" i="5"/>
  <c r="E522" i="5" s="1"/>
  <c r="T521" i="5"/>
  <c r="E521" i="5" s="1"/>
  <c r="T520" i="5"/>
  <c r="E520" i="5" s="1"/>
  <c r="T519" i="5"/>
  <c r="E519" i="5" s="1"/>
  <c r="T518" i="5"/>
  <c r="E518" i="5" s="1"/>
  <c r="T517" i="5"/>
  <c r="E517" i="5" s="1"/>
  <c r="T516" i="5"/>
  <c r="E516" i="5" s="1"/>
  <c r="T515" i="5"/>
  <c r="E515" i="5"/>
  <c r="T514" i="5"/>
  <c r="E514" i="5" s="1"/>
  <c r="T513" i="5"/>
  <c r="E513" i="5" s="1"/>
  <c r="T512" i="5"/>
  <c r="E512" i="5" s="1"/>
  <c r="T511" i="5"/>
  <c r="E511" i="5" s="1"/>
  <c r="T510" i="5"/>
  <c r="E510" i="5" s="1"/>
  <c r="T509" i="5"/>
  <c r="E509" i="5"/>
  <c r="T508" i="5"/>
  <c r="E508" i="5" s="1"/>
  <c r="T507" i="5"/>
  <c r="E507" i="5"/>
  <c r="T506" i="5"/>
  <c r="E506" i="5" s="1"/>
  <c r="T505" i="5"/>
  <c r="E505" i="5" s="1"/>
  <c r="T504" i="5"/>
  <c r="E504" i="5" s="1"/>
  <c r="T503" i="5"/>
  <c r="E503" i="5" s="1"/>
  <c r="T502" i="5"/>
  <c r="E502" i="5" s="1"/>
  <c r="T501" i="5"/>
  <c r="E501" i="5" s="1"/>
  <c r="T500" i="5"/>
  <c r="E500" i="5" s="1"/>
  <c r="T499" i="5"/>
  <c r="E499" i="5"/>
  <c r="T498" i="5"/>
  <c r="E498" i="5" s="1"/>
  <c r="T497" i="5"/>
  <c r="E497" i="5" s="1"/>
  <c r="T496" i="5"/>
  <c r="E496" i="5" s="1"/>
  <c r="T495" i="5"/>
  <c r="E495" i="5" s="1"/>
  <c r="T494" i="5"/>
  <c r="E494" i="5" s="1"/>
  <c r="T493" i="5"/>
  <c r="E493" i="5"/>
  <c r="T492" i="5"/>
  <c r="E492" i="5" s="1"/>
  <c r="T491" i="5"/>
  <c r="E491" i="5"/>
  <c r="T490" i="5"/>
  <c r="E490" i="5" s="1"/>
  <c r="T489" i="5"/>
  <c r="E489" i="5" s="1"/>
  <c r="T488" i="5"/>
  <c r="E488" i="5" s="1"/>
  <c r="T487" i="5"/>
  <c r="E487" i="5" s="1"/>
  <c r="T486" i="5"/>
  <c r="E486" i="5" s="1"/>
  <c r="T485" i="5"/>
  <c r="E485" i="5" s="1"/>
  <c r="T484" i="5"/>
  <c r="E484" i="5" s="1"/>
  <c r="T483" i="5"/>
  <c r="E483" i="5"/>
  <c r="T482" i="5"/>
  <c r="E482" i="5" s="1"/>
  <c r="T481" i="5"/>
  <c r="E481" i="5" s="1"/>
  <c r="T480" i="5"/>
  <c r="E480" i="5" s="1"/>
  <c r="T479" i="5"/>
  <c r="E479" i="5" s="1"/>
  <c r="T478" i="5"/>
  <c r="E478" i="5" s="1"/>
  <c r="T477" i="5"/>
  <c r="E477" i="5"/>
  <c r="T476" i="5"/>
  <c r="E476" i="5" s="1"/>
  <c r="T475" i="5"/>
  <c r="E475" i="5"/>
  <c r="T474" i="5"/>
  <c r="E474" i="5" s="1"/>
  <c r="T473" i="5"/>
  <c r="E473" i="5" s="1"/>
  <c r="T472" i="5"/>
  <c r="E472" i="5" s="1"/>
  <c r="T471" i="5"/>
  <c r="E471" i="5" s="1"/>
  <c r="T470" i="5"/>
  <c r="E470" i="5" s="1"/>
  <c r="T469" i="5"/>
  <c r="E469" i="5" s="1"/>
  <c r="T468" i="5"/>
  <c r="E468" i="5" s="1"/>
  <c r="T467" i="5"/>
  <c r="E467" i="5" s="1"/>
  <c r="T466" i="5"/>
  <c r="E466" i="5" s="1"/>
  <c r="T465" i="5"/>
  <c r="E465" i="5" s="1"/>
  <c r="T464" i="5"/>
  <c r="E464" i="5" s="1"/>
  <c r="T463" i="5"/>
  <c r="E463" i="5" s="1"/>
  <c r="T462" i="5"/>
  <c r="E462" i="5" s="1"/>
  <c r="T461" i="5"/>
  <c r="E461" i="5"/>
  <c r="T460" i="5"/>
  <c r="E460" i="5" s="1"/>
  <c r="T459" i="5"/>
  <c r="E459" i="5"/>
  <c r="T458" i="5"/>
  <c r="E458" i="5" s="1"/>
  <c r="T457" i="5"/>
  <c r="E457" i="5" s="1"/>
  <c r="T456" i="5"/>
  <c r="E456" i="5" s="1"/>
  <c r="T455" i="5"/>
  <c r="E455" i="5" s="1"/>
  <c r="T454" i="5"/>
  <c r="E454" i="5" s="1"/>
  <c r="T453" i="5"/>
  <c r="E453" i="5" s="1"/>
  <c r="T452" i="5"/>
  <c r="E452" i="5" s="1"/>
  <c r="T451" i="5"/>
  <c r="E451" i="5" s="1"/>
  <c r="T450" i="5"/>
  <c r="E450" i="5" s="1"/>
  <c r="T449" i="5"/>
  <c r="E449" i="5" s="1"/>
  <c r="T448" i="5"/>
  <c r="E448" i="5" s="1"/>
  <c r="T447" i="5"/>
  <c r="E447" i="5" s="1"/>
  <c r="T446" i="5"/>
  <c r="E446" i="5" s="1"/>
  <c r="T445" i="5"/>
  <c r="E445" i="5"/>
  <c r="T444" i="5"/>
  <c r="E444" i="5" s="1"/>
  <c r="T443" i="5"/>
  <c r="E443" i="5"/>
  <c r="T442" i="5"/>
  <c r="E442" i="5" s="1"/>
  <c r="T441" i="5"/>
  <c r="E441" i="5" s="1"/>
  <c r="T440" i="5"/>
  <c r="E440" i="5" s="1"/>
  <c r="T439" i="5"/>
  <c r="E439" i="5" s="1"/>
  <c r="T438" i="5"/>
  <c r="E438" i="5" s="1"/>
  <c r="T437" i="5"/>
  <c r="E437" i="5" s="1"/>
  <c r="T436" i="5"/>
  <c r="E436" i="5" s="1"/>
  <c r="T435" i="5"/>
  <c r="E435" i="5" s="1"/>
  <c r="T434" i="5"/>
  <c r="E434" i="5" s="1"/>
  <c r="T433" i="5"/>
  <c r="E433" i="5" s="1"/>
  <c r="T432" i="5"/>
  <c r="E432" i="5" s="1"/>
  <c r="T431" i="5"/>
  <c r="E431" i="5" s="1"/>
  <c r="T430" i="5"/>
  <c r="E430" i="5" s="1"/>
  <c r="T429" i="5"/>
  <c r="E429" i="5"/>
  <c r="T428" i="5"/>
  <c r="E428" i="5" s="1"/>
  <c r="T427" i="5"/>
  <c r="E427" i="5"/>
  <c r="T426" i="5"/>
  <c r="E426" i="5" s="1"/>
  <c r="T425" i="5"/>
  <c r="E425" i="5" s="1"/>
  <c r="T424" i="5"/>
  <c r="E424" i="5" s="1"/>
  <c r="T423" i="5"/>
  <c r="E423" i="5" s="1"/>
  <c r="T422" i="5"/>
  <c r="E422" i="5" s="1"/>
  <c r="T421" i="5"/>
  <c r="E421" i="5"/>
  <c r="T420" i="5"/>
  <c r="E420" i="5" s="1"/>
  <c r="T419" i="5"/>
  <c r="E419" i="5"/>
  <c r="T418" i="5"/>
  <c r="E418" i="5" s="1"/>
  <c r="T417" i="5"/>
  <c r="E417" i="5" s="1"/>
  <c r="T416" i="5"/>
  <c r="E416" i="5" s="1"/>
  <c r="T415" i="5"/>
  <c r="E415" i="5" s="1"/>
  <c r="T414" i="5"/>
  <c r="E414" i="5" s="1"/>
  <c r="T413" i="5"/>
  <c r="E413" i="5"/>
  <c r="T412" i="5"/>
  <c r="E412" i="5" s="1"/>
  <c r="T411" i="5"/>
  <c r="E411" i="5"/>
  <c r="T410" i="5"/>
  <c r="E410" i="5" s="1"/>
  <c r="T409" i="5"/>
  <c r="E409" i="5" s="1"/>
  <c r="T408" i="5"/>
  <c r="E408" i="5" s="1"/>
  <c r="T407" i="5"/>
  <c r="E407" i="5" s="1"/>
  <c r="T406" i="5"/>
  <c r="E406" i="5" s="1"/>
  <c r="T405" i="5"/>
  <c r="E405" i="5"/>
  <c r="T404" i="5"/>
  <c r="E404" i="5" s="1"/>
  <c r="T403" i="5"/>
  <c r="E403" i="5"/>
  <c r="T402" i="5"/>
  <c r="E402" i="5" s="1"/>
  <c r="T401" i="5"/>
  <c r="E401" i="5" s="1"/>
  <c r="T400" i="5"/>
  <c r="E400" i="5" s="1"/>
  <c r="T399" i="5"/>
  <c r="E399" i="5" s="1"/>
  <c r="T398" i="5"/>
  <c r="E398" i="5" s="1"/>
  <c r="T397" i="5"/>
  <c r="E397" i="5"/>
  <c r="T396" i="5"/>
  <c r="E396" i="5" s="1"/>
  <c r="T395" i="5"/>
  <c r="E395" i="5"/>
  <c r="T394" i="5"/>
  <c r="E394" i="5" s="1"/>
  <c r="T393" i="5"/>
  <c r="E393" i="5" s="1"/>
  <c r="T392" i="5"/>
  <c r="E392" i="5" s="1"/>
  <c r="T391" i="5"/>
  <c r="E391" i="5" s="1"/>
  <c r="T390" i="5"/>
  <c r="E390" i="5" s="1"/>
  <c r="T389" i="5"/>
  <c r="E389" i="5"/>
  <c r="T388" i="5"/>
  <c r="E388" i="5" s="1"/>
  <c r="T387" i="5"/>
  <c r="E387" i="5"/>
  <c r="T386" i="5"/>
  <c r="E386" i="5" s="1"/>
  <c r="T385" i="5"/>
  <c r="E385" i="5" s="1"/>
  <c r="T384" i="5"/>
  <c r="E384" i="5" s="1"/>
  <c r="T383" i="5"/>
  <c r="E383" i="5" s="1"/>
  <c r="T382" i="5"/>
  <c r="E382" i="5" s="1"/>
  <c r="T381" i="5"/>
  <c r="E381" i="5"/>
  <c r="T380" i="5"/>
  <c r="E380" i="5" s="1"/>
  <c r="T379" i="5"/>
  <c r="E379" i="5"/>
  <c r="T378" i="5"/>
  <c r="E378" i="5" s="1"/>
  <c r="T377" i="5"/>
  <c r="E377" i="5" s="1"/>
  <c r="T376" i="5"/>
  <c r="E376" i="5" s="1"/>
  <c r="T375" i="5"/>
  <c r="E375" i="5" s="1"/>
  <c r="T374" i="5"/>
  <c r="E374" i="5" s="1"/>
  <c r="T373" i="5"/>
  <c r="E373" i="5"/>
  <c r="T372" i="5"/>
  <c r="E372" i="5" s="1"/>
  <c r="T371" i="5"/>
  <c r="E371" i="5"/>
  <c r="T370" i="5"/>
  <c r="E370" i="5" s="1"/>
  <c r="T369" i="5"/>
  <c r="E369" i="5" s="1"/>
  <c r="T368" i="5"/>
  <c r="E368" i="5" s="1"/>
  <c r="T367" i="5"/>
  <c r="E367" i="5"/>
  <c r="T366" i="5"/>
  <c r="E366" i="5" s="1"/>
  <c r="T365" i="5"/>
  <c r="E365" i="5"/>
  <c r="T364" i="5"/>
  <c r="E364" i="5" s="1"/>
  <c r="T363" i="5"/>
  <c r="E363" i="5"/>
  <c r="T362" i="5"/>
  <c r="E362" i="5" s="1"/>
  <c r="T361" i="5"/>
  <c r="E361" i="5" s="1"/>
  <c r="T360" i="5"/>
  <c r="E360" i="5" s="1"/>
  <c r="T359" i="5"/>
  <c r="E359" i="5"/>
  <c r="T358" i="5"/>
  <c r="E358" i="5" s="1"/>
  <c r="T357" i="5"/>
  <c r="E357" i="5"/>
  <c r="T356" i="5"/>
  <c r="E356" i="5" s="1"/>
  <c r="T355" i="5"/>
  <c r="E355" i="5"/>
  <c r="T354" i="5"/>
  <c r="E354" i="5" s="1"/>
  <c r="T353" i="5"/>
  <c r="E353" i="5" s="1"/>
  <c r="T352" i="5"/>
  <c r="E352" i="5" s="1"/>
  <c r="T351" i="5"/>
  <c r="E351" i="5"/>
  <c r="T350" i="5"/>
  <c r="E350" i="5" s="1"/>
  <c r="T349" i="5"/>
  <c r="E349" i="5"/>
  <c r="T348" i="5"/>
  <c r="E348" i="5" s="1"/>
  <c r="T347" i="5"/>
  <c r="E347" i="5"/>
  <c r="T346" i="5"/>
  <c r="E346" i="5" s="1"/>
  <c r="T345" i="5"/>
  <c r="E345" i="5" s="1"/>
  <c r="T344" i="5"/>
  <c r="E344" i="5" s="1"/>
  <c r="T343" i="5"/>
  <c r="E343" i="5"/>
  <c r="T342" i="5"/>
  <c r="E342" i="5" s="1"/>
  <c r="T341" i="5"/>
  <c r="E341" i="5"/>
  <c r="T340" i="5"/>
  <c r="E340" i="5" s="1"/>
  <c r="T339" i="5"/>
  <c r="E339" i="5"/>
  <c r="T338" i="5"/>
  <c r="E338" i="5" s="1"/>
  <c r="T337" i="5"/>
  <c r="E337" i="5" s="1"/>
  <c r="T336" i="5"/>
  <c r="E336" i="5" s="1"/>
  <c r="T335" i="5"/>
  <c r="E335" i="5"/>
  <c r="T334" i="5"/>
  <c r="E334" i="5" s="1"/>
  <c r="T333" i="5"/>
  <c r="E333" i="5"/>
  <c r="T332" i="5"/>
  <c r="E332" i="5" s="1"/>
  <c r="T331" i="5"/>
  <c r="E331" i="5"/>
  <c r="T330" i="5"/>
  <c r="E330" i="5" s="1"/>
  <c r="T329" i="5"/>
  <c r="E329" i="5" s="1"/>
  <c r="T328" i="5"/>
  <c r="E328" i="5" s="1"/>
  <c r="T327" i="5"/>
  <c r="E327" i="5"/>
  <c r="T326" i="5"/>
  <c r="E326" i="5" s="1"/>
  <c r="T325" i="5"/>
  <c r="E325" i="5"/>
  <c r="T324" i="5"/>
  <c r="E324" i="5" s="1"/>
  <c r="T323" i="5"/>
  <c r="E323" i="5"/>
  <c r="T322" i="5"/>
  <c r="E322" i="5" s="1"/>
  <c r="T321" i="5"/>
  <c r="E321" i="5" s="1"/>
  <c r="T320" i="5"/>
  <c r="E320" i="5" s="1"/>
  <c r="T319" i="5"/>
  <c r="E319" i="5" s="1"/>
  <c r="T318" i="5"/>
  <c r="E318" i="5" s="1"/>
  <c r="T317" i="5"/>
  <c r="E317" i="5"/>
  <c r="T316" i="5"/>
  <c r="E316" i="5" s="1"/>
  <c r="T315" i="5"/>
  <c r="E315" i="5"/>
  <c r="T314" i="5"/>
  <c r="E314" i="5" s="1"/>
  <c r="T313" i="5"/>
  <c r="E313" i="5" s="1"/>
  <c r="T312" i="5"/>
  <c r="E312" i="5" s="1"/>
  <c r="T311" i="5"/>
  <c r="E311" i="5" s="1"/>
  <c r="T310" i="5"/>
  <c r="E310" i="5" s="1"/>
  <c r="T309" i="5"/>
  <c r="E309" i="5"/>
  <c r="T308" i="5"/>
  <c r="E308" i="5" s="1"/>
  <c r="T307" i="5"/>
  <c r="E307" i="5"/>
  <c r="T306" i="5"/>
  <c r="E306" i="5" s="1"/>
  <c r="T305" i="5"/>
  <c r="E305" i="5" s="1"/>
  <c r="T304" i="5"/>
  <c r="E304" i="5" s="1"/>
  <c r="T303" i="5"/>
  <c r="E303" i="5" s="1"/>
  <c r="T302" i="5"/>
  <c r="E302" i="5" s="1"/>
  <c r="T301" i="5"/>
  <c r="E301" i="5"/>
  <c r="T300" i="5"/>
  <c r="E300" i="5" s="1"/>
  <c r="T299" i="5"/>
  <c r="E299" i="5"/>
  <c r="T298" i="5"/>
  <c r="E298" i="5" s="1"/>
  <c r="T297" i="5"/>
  <c r="E297" i="5" s="1"/>
  <c r="T296" i="5"/>
  <c r="E296" i="5" s="1"/>
  <c r="T295" i="5"/>
  <c r="E295" i="5" s="1"/>
  <c r="T294" i="5"/>
  <c r="E294" i="5" s="1"/>
  <c r="T293" i="5"/>
  <c r="E293" i="5"/>
  <c r="T292" i="5"/>
  <c r="E292" i="5" s="1"/>
  <c r="T291" i="5"/>
  <c r="E291" i="5"/>
  <c r="T290" i="5"/>
  <c r="E290" i="5" s="1"/>
  <c r="T289" i="5"/>
  <c r="E289" i="5" s="1"/>
  <c r="T288" i="5"/>
  <c r="E288" i="5" s="1"/>
  <c r="T287" i="5"/>
  <c r="E287" i="5" s="1"/>
  <c r="T286" i="5"/>
  <c r="E286" i="5" s="1"/>
  <c r="T285" i="5"/>
  <c r="E285" i="5"/>
  <c r="T284" i="5"/>
  <c r="E284" i="5" s="1"/>
  <c r="T283" i="5"/>
  <c r="E283" i="5"/>
  <c r="T282" i="5"/>
  <c r="E282" i="5" s="1"/>
  <c r="T281" i="5"/>
  <c r="E281" i="5" s="1"/>
  <c r="T280" i="5"/>
  <c r="E280" i="5" s="1"/>
  <c r="T279" i="5"/>
  <c r="E279" i="5" s="1"/>
  <c r="T278" i="5"/>
  <c r="E278" i="5" s="1"/>
  <c r="T277" i="5"/>
  <c r="E277" i="5"/>
  <c r="T276" i="5"/>
  <c r="E276" i="5" s="1"/>
  <c r="T275" i="5"/>
  <c r="E275" i="5"/>
  <c r="T274" i="5"/>
  <c r="E274" i="5" s="1"/>
  <c r="T273" i="5"/>
  <c r="E273" i="5" s="1"/>
  <c r="T272" i="5"/>
  <c r="E272" i="5" s="1"/>
  <c r="T271" i="5"/>
  <c r="E271" i="5" s="1"/>
  <c r="T270" i="5"/>
  <c r="E270" i="5" s="1"/>
  <c r="T269" i="5"/>
  <c r="E269" i="5"/>
  <c r="T268" i="5"/>
  <c r="E268" i="5" s="1"/>
  <c r="T267" i="5"/>
  <c r="E267" i="5"/>
  <c r="T266" i="5"/>
  <c r="E266" i="5" s="1"/>
  <c r="T265" i="5"/>
  <c r="E265" i="5" s="1"/>
  <c r="T264" i="5"/>
  <c r="E264" i="5" s="1"/>
  <c r="T263" i="5"/>
  <c r="E263" i="5" s="1"/>
  <c r="T262" i="5"/>
  <c r="E262" i="5" s="1"/>
  <c r="T261" i="5"/>
  <c r="E261" i="5"/>
  <c r="T260" i="5"/>
  <c r="E260" i="5" s="1"/>
  <c r="T259" i="5"/>
  <c r="E259" i="5"/>
  <c r="T258" i="5"/>
  <c r="E258" i="5" s="1"/>
  <c r="T257" i="5"/>
  <c r="E257" i="5" s="1"/>
  <c r="T256" i="5"/>
  <c r="E256" i="5" s="1"/>
  <c r="T255" i="5"/>
  <c r="E255" i="5" s="1"/>
  <c r="T254" i="5"/>
  <c r="E254" i="5" s="1"/>
  <c r="T253" i="5"/>
  <c r="E253" i="5"/>
  <c r="T252" i="5"/>
  <c r="E252" i="5" s="1"/>
  <c r="T251" i="5"/>
  <c r="E251" i="5"/>
  <c r="T250" i="5"/>
  <c r="E250" i="5" s="1"/>
  <c r="T249" i="5"/>
  <c r="E249" i="5" s="1"/>
  <c r="T248" i="5"/>
  <c r="E248" i="5" s="1"/>
  <c r="T247" i="5"/>
  <c r="E247" i="5"/>
  <c r="T246" i="5"/>
  <c r="E246" i="5" s="1"/>
  <c r="T245" i="5"/>
  <c r="E245" i="5"/>
  <c r="T244" i="5"/>
  <c r="E244" i="5" s="1"/>
  <c r="T243" i="5"/>
  <c r="E243" i="5"/>
  <c r="T242" i="5"/>
  <c r="E242" i="5" s="1"/>
  <c r="T241" i="5"/>
  <c r="E241" i="5" s="1"/>
  <c r="T240" i="5"/>
  <c r="E240" i="5" s="1"/>
  <c r="T239" i="5"/>
  <c r="E239" i="5"/>
  <c r="T238" i="5"/>
  <c r="E238" i="5" s="1"/>
  <c r="T237" i="5"/>
  <c r="E237" i="5"/>
  <c r="T236" i="5"/>
  <c r="E236" i="5" s="1"/>
  <c r="T235" i="5"/>
  <c r="E235" i="5"/>
  <c r="T234" i="5"/>
  <c r="E234" i="5" s="1"/>
  <c r="T233" i="5"/>
  <c r="E233" i="5" s="1"/>
  <c r="T232" i="5"/>
  <c r="E232" i="5" s="1"/>
  <c r="T231" i="5"/>
  <c r="E231" i="5"/>
  <c r="T230" i="5"/>
  <c r="E230" i="5" s="1"/>
  <c r="T229" i="5"/>
  <c r="E229" i="5"/>
  <c r="T228" i="5"/>
  <c r="E228" i="5" s="1"/>
  <c r="T227" i="5"/>
  <c r="E227" i="5"/>
  <c r="T226" i="5"/>
  <c r="E226" i="5" s="1"/>
  <c r="T225" i="5"/>
  <c r="E225" i="5" s="1"/>
  <c r="T224" i="5"/>
  <c r="E224" i="5" s="1"/>
  <c r="T223" i="5"/>
  <c r="E223" i="5"/>
  <c r="T222" i="5"/>
  <c r="E222" i="5" s="1"/>
  <c r="T221" i="5"/>
  <c r="E221" i="5"/>
  <c r="T220" i="5"/>
  <c r="E220" i="5" s="1"/>
  <c r="T219" i="5"/>
  <c r="E219" i="5"/>
  <c r="T218" i="5"/>
  <c r="E218" i="5" s="1"/>
  <c r="T217" i="5"/>
  <c r="E217" i="5" s="1"/>
  <c r="T216" i="5"/>
  <c r="E216" i="5" s="1"/>
  <c r="T215" i="5"/>
  <c r="E215" i="5"/>
  <c r="T214" i="5"/>
  <c r="E214" i="5" s="1"/>
  <c r="T213" i="5"/>
  <c r="E213" i="5"/>
  <c r="T212" i="5"/>
  <c r="E212" i="5" s="1"/>
  <c r="T211" i="5"/>
  <c r="E211" i="5"/>
  <c r="T210" i="5"/>
  <c r="E210" i="5" s="1"/>
  <c r="T209" i="5"/>
  <c r="E209" i="5" s="1"/>
  <c r="T208" i="5"/>
  <c r="E208" i="5" s="1"/>
  <c r="T207" i="5"/>
  <c r="E207" i="5"/>
  <c r="T206" i="5"/>
  <c r="E206" i="5" s="1"/>
  <c r="T205" i="5"/>
  <c r="E205" i="5"/>
  <c r="T204" i="5"/>
  <c r="E204" i="5" s="1"/>
  <c r="T203" i="5"/>
  <c r="E203" i="5"/>
  <c r="T202" i="5"/>
  <c r="E202" i="5" s="1"/>
  <c r="T201" i="5"/>
  <c r="E201" i="5" s="1"/>
  <c r="T200" i="5"/>
  <c r="E200" i="5" s="1"/>
  <c r="T199" i="5"/>
  <c r="E199" i="5"/>
  <c r="T198" i="5"/>
  <c r="E198" i="5" s="1"/>
  <c r="T197" i="5"/>
  <c r="E197" i="5"/>
  <c r="T196" i="5"/>
  <c r="E196" i="5" s="1"/>
  <c r="T195" i="5"/>
  <c r="E195" i="5"/>
  <c r="T194" i="5"/>
  <c r="E194" i="5" s="1"/>
  <c r="T193" i="5"/>
  <c r="E193" i="5" s="1"/>
  <c r="T192" i="5"/>
  <c r="E192" i="5" s="1"/>
  <c r="T191" i="5"/>
  <c r="E191" i="5"/>
  <c r="T190" i="5"/>
  <c r="E190" i="5" s="1"/>
  <c r="T189" i="5"/>
  <c r="E189" i="5"/>
  <c r="T188" i="5"/>
  <c r="E188" i="5" s="1"/>
  <c r="T187" i="5"/>
  <c r="E187" i="5"/>
  <c r="T186" i="5"/>
  <c r="E186" i="5" s="1"/>
  <c r="T185" i="5"/>
  <c r="E185" i="5" s="1"/>
  <c r="T184" i="5"/>
  <c r="E184" i="5" s="1"/>
  <c r="T183" i="5"/>
  <c r="E183" i="5"/>
  <c r="T182" i="5"/>
  <c r="E182" i="5" s="1"/>
  <c r="T181" i="5"/>
  <c r="E181" i="5"/>
  <c r="T180" i="5"/>
  <c r="E180" i="5" s="1"/>
  <c r="T179" i="5"/>
  <c r="E179" i="5"/>
  <c r="T178" i="5"/>
  <c r="E178" i="5" s="1"/>
  <c r="T177" i="5"/>
  <c r="E177" i="5" s="1"/>
  <c r="T176" i="5"/>
  <c r="E176" i="5" s="1"/>
  <c r="T175" i="5"/>
  <c r="E175" i="5"/>
  <c r="T174" i="5"/>
  <c r="E174" i="5" s="1"/>
  <c r="T173" i="5"/>
  <c r="E173" i="5"/>
  <c r="T172" i="5"/>
  <c r="E172" i="5" s="1"/>
  <c r="T171" i="5"/>
  <c r="E171" i="5"/>
  <c r="T170" i="5"/>
  <c r="E170" i="5" s="1"/>
  <c r="T169" i="5"/>
  <c r="E169" i="5" s="1"/>
  <c r="T168" i="5"/>
  <c r="E168" i="5" s="1"/>
  <c r="T167" i="5"/>
  <c r="E167" i="5"/>
  <c r="T166" i="5"/>
  <c r="E166" i="5" s="1"/>
  <c r="T165" i="5"/>
  <c r="E165" i="5"/>
  <c r="T164" i="5"/>
  <c r="E164" i="5" s="1"/>
  <c r="T163" i="5"/>
  <c r="E163" i="5"/>
  <c r="T162" i="5"/>
  <c r="E162" i="5" s="1"/>
  <c r="T161" i="5"/>
  <c r="E161" i="5" s="1"/>
  <c r="T160" i="5"/>
  <c r="E160" i="5" s="1"/>
  <c r="T159" i="5"/>
  <c r="E159" i="5"/>
  <c r="T158" i="5"/>
  <c r="E158" i="5" s="1"/>
  <c r="T157" i="5"/>
  <c r="E157" i="5"/>
  <c r="T156" i="5"/>
  <c r="E156" i="5" s="1"/>
  <c r="T155" i="5"/>
  <c r="E155" i="5"/>
  <c r="T154" i="5"/>
  <c r="E154" i="5" s="1"/>
  <c r="T153" i="5"/>
  <c r="E153" i="5" s="1"/>
  <c r="T152" i="5"/>
  <c r="E152" i="5" s="1"/>
  <c r="T151" i="5"/>
  <c r="E151" i="5"/>
  <c r="T150" i="5"/>
  <c r="E150" i="5" s="1"/>
  <c r="T149" i="5"/>
  <c r="E149" i="5"/>
  <c r="T148" i="5"/>
  <c r="E148" i="5" s="1"/>
  <c r="T147" i="5"/>
  <c r="E147" i="5"/>
  <c r="T146" i="5"/>
  <c r="E146" i="5" s="1"/>
  <c r="T145" i="5"/>
  <c r="E145" i="5" s="1"/>
  <c r="T144" i="5"/>
  <c r="E144" i="5" s="1"/>
  <c r="T143" i="5"/>
  <c r="E143" i="5"/>
  <c r="T142" i="5"/>
  <c r="E142" i="5" s="1"/>
  <c r="T141" i="5"/>
  <c r="E141" i="5"/>
  <c r="T140" i="5"/>
  <c r="E140" i="5" s="1"/>
  <c r="T139" i="5"/>
  <c r="E139" i="5"/>
  <c r="T138" i="5"/>
  <c r="E138" i="5" s="1"/>
  <c r="T137" i="5"/>
  <c r="E137" i="5" s="1"/>
  <c r="T136" i="5"/>
  <c r="E136" i="5" s="1"/>
  <c r="T135" i="5"/>
  <c r="E135" i="5" s="1"/>
  <c r="T134" i="5"/>
  <c r="E134" i="5" s="1"/>
  <c r="T133" i="5"/>
  <c r="E133" i="5"/>
  <c r="T132" i="5"/>
  <c r="E132" i="5" s="1"/>
  <c r="T131" i="5"/>
  <c r="E131" i="5"/>
  <c r="T130" i="5"/>
  <c r="E130" i="5" s="1"/>
  <c r="T129" i="5"/>
  <c r="E129" i="5" s="1"/>
  <c r="T128" i="5"/>
  <c r="E128" i="5" s="1"/>
  <c r="T127" i="5"/>
  <c r="E127" i="5" s="1"/>
  <c r="T126" i="5"/>
  <c r="E126" i="5" s="1"/>
  <c r="T125" i="5"/>
  <c r="E125" i="5"/>
  <c r="T124" i="5"/>
  <c r="E124" i="5" s="1"/>
  <c r="T123" i="5"/>
  <c r="E123" i="5"/>
  <c r="T122" i="5"/>
  <c r="E122" i="5" s="1"/>
  <c r="T121" i="5"/>
  <c r="E121" i="5" s="1"/>
  <c r="T120" i="5"/>
  <c r="E120" i="5" s="1"/>
  <c r="T119" i="5"/>
  <c r="E119" i="5" s="1"/>
  <c r="T118" i="5"/>
  <c r="E118" i="5" s="1"/>
  <c r="T117" i="5"/>
  <c r="E117" i="5"/>
  <c r="T116" i="5"/>
  <c r="E116" i="5" s="1"/>
  <c r="T115" i="5"/>
  <c r="E115" i="5"/>
  <c r="T114" i="5"/>
  <c r="E114" i="5" s="1"/>
  <c r="T113" i="5"/>
  <c r="E113" i="5" s="1"/>
  <c r="T112" i="5"/>
  <c r="E112" i="5" s="1"/>
  <c r="T111" i="5"/>
  <c r="E111" i="5" s="1"/>
  <c r="T110" i="5"/>
  <c r="E110" i="5" s="1"/>
  <c r="T109" i="5"/>
  <c r="E109" i="5"/>
  <c r="T108" i="5"/>
  <c r="E108" i="5" s="1"/>
  <c r="T107" i="5"/>
  <c r="E107" i="5"/>
  <c r="T106" i="5"/>
  <c r="E106" i="5" s="1"/>
  <c r="T105" i="5"/>
  <c r="E105" i="5" s="1"/>
  <c r="T104" i="5"/>
  <c r="E104" i="5" s="1"/>
  <c r="T103" i="5"/>
  <c r="E103" i="5" s="1"/>
  <c r="T102" i="5"/>
  <c r="E102" i="5" s="1"/>
  <c r="T101" i="5"/>
  <c r="E101" i="5"/>
  <c r="T100" i="5"/>
  <c r="E100" i="5" s="1"/>
  <c r="T99" i="5"/>
  <c r="E99" i="5"/>
  <c r="T98" i="5"/>
  <c r="E98" i="5" s="1"/>
  <c r="T97" i="5"/>
  <c r="E97" i="5" s="1"/>
  <c r="T96" i="5"/>
  <c r="E96" i="5" s="1"/>
  <c r="T95" i="5"/>
  <c r="E95" i="5" s="1"/>
  <c r="T94" i="5"/>
  <c r="E94" i="5" s="1"/>
  <c r="T93" i="5"/>
  <c r="E93" i="5"/>
  <c r="T92" i="5"/>
  <c r="E92" i="5" s="1"/>
  <c r="T91" i="5"/>
  <c r="E91" i="5"/>
  <c r="T90" i="5"/>
  <c r="E90" i="5" s="1"/>
  <c r="T89" i="5"/>
  <c r="E89" i="5" s="1"/>
  <c r="T88" i="5"/>
  <c r="E88" i="5" s="1"/>
  <c r="T87" i="5"/>
  <c r="E87" i="5" s="1"/>
  <c r="T86" i="5"/>
  <c r="E86" i="5" s="1"/>
  <c r="T85" i="5"/>
  <c r="E85" i="5"/>
  <c r="T84" i="5"/>
  <c r="E84" i="5" s="1"/>
  <c r="T83" i="5"/>
  <c r="E83" i="5"/>
  <c r="T82" i="5"/>
  <c r="E82" i="5" s="1"/>
  <c r="T81" i="5"/>
  <c r="E81" i="5" s="1"/>
  <c r="T80" i="5"/>
  <c r="E80" i="5" s="1"/>
  <c r="T79" i="5"/>
  <c r="E79" i="5" s="1"/>
  <c r="T78" i="5"/>
  <c r="E78" i="5" s="1"/>
  <c r="T77" i="5"/>
  <c r="E77" i="5"/>
  <c r="T76" i="5"/>
  <c r="E76" i="5" s="1"/>
  <c r="T75" i="5"/>
  <c r="E75" i="5"/>
  <c r="T74" i="5"/>
  <c r="E74" i="5" s="1"/>
  <c r="T73" i="5"/>
  <c r="E73" i="5" s="1"/>
  <c r="T72" i="5"/>
  <c r="E72" i="5" s="1"/>
  <c r="T71" i="5"/>
  <c r="E71" i="5"/>
  <c r="T70" i="5"/>
  <c r="E70" i="5" s="1"/>
  <c r="T69" i="5"/>
  <c r="E69" i="5"/>
  <c r="T68" i="5"/>
  <c r="E68" i="5" s="1"/>
  <c r="T67" i="5"/>
  <c r="E67" i="5"/>
  <c r="T66" i="5"/>
  <c r="E66" i="5" s="1"/>
  <c r="T65" i="5"/>
  <c r="E65" i="5" s="1"/>
  <c r="T64" i="5"/>
  <c r="E64" i="5" s="1"/>
  <c r="T63" i="5"/>
  <c r="E63" i="5"/>
  <c r="T62" i="5"/>
  <c r="E62" i="5" s="1"/>
  <c r="T61" i="5"/>
  <c r="E61" i="5"/>
  <c r="T60" i="5"/>
  <c r="E60" i="5" s="1"/>
  <c r="T59" i="5"/>
  <c r="E59" i="5"/>
  <c r="T58" i="5"/>
  <c r="E58" i="5" s="1"/>
  <c r="T57" i="5"/>
  <c r="E57" i="5" s="1"/>
  <c r="T56" i="5"/>
  <c r="E56" i="5" s="1"/>
  <c r="T55" i="5"/>
  <c r="E55" i="5"/>
  <c r="T54" i="5"/>
  <c r="E54" i="5" s="1"/>
  <c r="T53" i="5"/>
  <c r="E53" i="5"/>
  <c r="T52" i="5"/>
  <c r="E52" i="5" s="1"/>
  <c r="T51" i="5"/>
  <c r="E51" i="5"/>
  <c r="T50" i="5"/>
  <c r="E50" i="5" s="1"/>
  <c r="T49" i="5"/>
  <c r="E49" i="5" s="1"/>
  <c r="T48" i="5"/>
  <c r="E48" i="5" s="1"/>
  <c r="T47" i="5"/>
  <c r="E47" i="5"/>
  <c r="T46" i="5"/>
  <c r="E46" i="5" s="1"/>
  <c r="T45" i="5"/>
  <c r="E45" i="5"/>
  <c r="T44" i="5"/>
  <c r="E44" i="5" s="1"/>
  <c r="T43" i="5"/>
  <c r="E43" i="5"/>
  <c r="T42" i="5"/>
  <c r="E42" i="5" s="1"/>
  <c r="T41" i="5"/>
  <c r="E41" i="5" s="1"/>
  <c r="T40" i="5"/>
  <c r="E40" i="5" s="1"/>
  <c r="T39" i="5"/>
  <c r="E39" i="5"/>
  <c r="T38" i="5"/>
  <c r="E38" i="5" s="1"/>
  <c r="T37" i="5"/>
  <c r="E37" i="5"/>
  <c r="T36" i="5"/>
  <c r="E36" i="5" s="1"/>
  <c r="T35" i="5"/>
  <c r="E35" i="5"/>
  <c r="T34" i="5"/>
  <c r="E34" i="5" s="1"/>
  <c r="T33" i="5"/>
  <c r="E33" i="5" s="1"/>
  <c r="T32" i="5"/>
  <c r="E32" i="5" s="1"/>
  <c r="T31" i="5"/>
  <c r="E31" i="5"/>
  <c r="T30" i="5"/>
  <c r="E30" i="5" s="1"/>
  <c r="T29" i="5"/>
  <c r="E29" i="5"/>
  <c r="T28" i="5"/>
  <c r="E28" i="5" s="1"/>
  <c r="T27" i="5"/>
  <c r="E27" i="5"/>
  <c r="T26" i="5"/>
  <c r="E26" i="5" s="1"/>
  <c r="T25" i="5"/>
  <c r="E25" i="5" s="1"/>
  <c r="T24" i="5"/>
  <c r="E24" i="5" s="1"/>
  <c r="T23" i="5"/>
  <c r="E23" i="5"/>
  <c r="T22" i="5"/>
  <c r="E22" i="5" s="1"/>
  <c r="T21" i="5"/>
  <c r="E21" i="5"/>
  <c r="T20" i="5"/>
  <c r="E20" i="5" s="1"/>
  <c r="T19" i="5"/>
  <c r="E19" i="5"/>
  <c r="T18" i="5"/>
  <c r="E18" i="5" s="1"/>
  <c r="T17" i="5"/>
  <c r="E17" i="5" s="1"/>
  <c r="T16" i="5"/>
  <c r="E16" i="5" s="1"/>
  <c r="T15" i="5"/>
  <c r="E15" i="5"/>
  <c r="T14" i="5"/>
  <c r="E14" i="5" s="1"/>
  <c r="T13" i="5"/>
  <c r="E13" i="5"/>
  <c r="T12" i="5"/>
  <c r="E12" i="5" s="1"/>
  <c r="T11" i="5"/>
  <c r="E11" i="5"/>
  <c r="T10" i="5"/>
  <c r="E10" i="5" s="1"/>
  <c r="T9" i="5"/>
  <c r="E9" i="5" s="1"/>
  <c r="T8" i="5"/>
  <c r="E8" i="5" s="1"/>
  <c r="T7" i="5"/>
  <c r="E7" i="5"/>
  <c r="S1002" i="5" l="1"/>
  <c r="T1001" i="5"/>
  <c r="B30" i="15" l="1"/>
  <c r="H149" i="7" l="1"/>
  <c r="H150" i="7" s="1"/>
  <c r="G149" i="7"/>
  <c r="F149" i="7"/>
  <c r="E149" i="7"/>
  <c r="B65" i="6"/>
  <c r="R65" i="6"/>
  <c r="Q65" i="6"/>
  <c r="P65" i="6"/>
  <c r="J65" i="6"/>
  <c r="I65" i="6"/>
  <c r="H65" i="6"/>
  <c r="G65" i="6"/>
  <c r="F65" i="6"/>
  <c r="D64" i="6"/>
  <c r="O64" i="6" s="1"/>
  <c r="D63" i="6"/>
  <c r="O63" i="6" s="1"/>
  <c r="D62" i="6"/>
  <c r="O62" i="6" s="1"/>
  <c r="D61" i="6"/>
  <c r="O61" i="6" s="1"/>
  <c r="D60" i="6"/>
  <c r="O60" i="6" s="1"/>
  <c r="D59" i="6"/>
  <c r="O59" i="6" s="1"/>
  <c r="D58" i="6"/>
  <c r="O58" i="6" s="1"/>
  <c r="D57" i="6"/>
  <c r="O57" i="6" s="1"/>
  <c r="D56" i="6"/>
  <c r="O56" i="6" s="1"/>
  <c r="D55" i="6"/>
  <c r="O55" i="6" s="1"/>
  <c r="D54" i="6"/>
  <c r="O54" i="6" s="1"/>
  <c r="D53" i="6"/>
  <c r="O53" i="6" s="1"/>
  <c r="D52" i="6"/>
  <c r="O52" i="6" s="1"/>
  <c r="D51" i="6"/>
  <c r="O51" i="6" s="1"/>
  <c r="D50" i="6"/>
  <c r="O50" i="6" s="1"/>
  <c r="D49" i="6"/>
  <c r="O49" i="6" s="1"/>
  <c r="D48" i="6"/>
  <c r="O48" i="6" s="1"/>
  <c r="D47" i="6"/>
  <c r="O47" i="6" s="1"/>
  <c r="D46" i="6"/>
  <c r="O46" i="6" s="1"/>
  <c r="D45" i="6"/>
  <c r="O45" i="6" s="1"/>
  <c r="D44" i="6"/>
  <c r="O44" i="6" s="1"/>
  <c r="D43" i="6"/>
  <c r="O43" i="6" s="1"/>
  <c r="D42" i="6"/>
  <c r="O42" i="6" s="1"/>
  <c r="D41" i="6"/>
  <c r="O41" i="6" s="1"/>
  <c r="D40" i="6"/>
  <c r="O40" i="6" s="1"/>
  <c r="D39" i="6"/>
  <c r="O39" i="6" s="1"/>
  <c r="D38" i="6"/>
  <c r="O38" i="6" s="1"/>
  <c r="D37" i="6"/>
  <c r="O37" i="6" s="1"/>
  <c r="D36" i="6"/>
  <c r="O36" i="6" s="1"/>
  <c r="D35" i="6"/>
  <c r="O35" i="6" s="1"/>
  <c r="D34" i="6"/>
  <c r="O34" i="6" s="1"/>
  <c r="D33" i="6"/>
  <c r="O33" i="6" s="1"/>
  <c r="D32" i="6"/>
  <c r="O32" i="6" s="1"/>
  <c r="D31" i="6"/>
  <c r="O31" i="6" s="1"/>
  <c r="D30" i="6"/>
  <c r="O30" i="6" s="1"/>
  <c r="D29" i="6"/>
  <c r="O29" i="6" s="1"/>
  <c r="D28" i="6"/>
  <c r="O28" i="6" s="1"/>
  <c r="D27" i="6"/>
  <c r="O27" i="6" s="1"/>
  <c r="D26" i="6"/>
  <c r="O26" i="6" s="1"/>
  <c r="D25" i="6"/>
  <c r="O25" i="6" s="1"/>
  <c r="D24" i="6"/>
  <c r="O24" i="6" s="1"/>
  <c r="D23" i="6"/>
  <c r="O23" i="6" s="1"/>
  <c r="D22" i="6"/>
  <c r="O22" i="6" s="1"/>
  <c r="D21" i="6"/>
  <c r="O21" i="6" s="1"/>
  <c r="D20" i="6"/>
  <c r="O20" i="6" s="1"/>
  <c r="T19" i="6"/>
  <c r="S19" i="6"/>
  <c r="N19" i="6"/>
  <c r="M19" i="6"/>
  <c r="D19" i="6"/>
  <c r="K19" i="6" s="1"/>
  <c r="T18" i="6"/>
  <c r="S18" i="6"/>
  <c r="N18" i="6"/>
  <c r="M18" i="6"/>
  <c r="D18" i="6"/>
  <c r="K18" i="6" s="1"/>
  <c r="T17" i="6"/>
  <c r="S17" i="6"/>
  <c r="N17" i="6"/>
  <c r="M17" i="6"/>
  <c r="D17" i="6"/>
  <c r="K17" i="6" s="1"/>
  <c r="T16" i="6"/>
  <c r="S16" i="6"/>
  <c r="N16" i="6"/>
  <c r="M16" i="6"/>
  <c r="D16" i="6"/>
  <c r="K16" i="6" s="1"/>
  <c r="T15" i="6"/>
  <c r="S15" i="6"/>
  <c r="N15" i="6"/>
  <c r="M15" i="6"/>
  <c r="D15" i="6"/>
  <c r="K15" i="6" s="1"/>
  <c r="T14" i="6"/>
  <c r="S14" i="6"/>
  <c r="N14" i="6"/>
  <c r="M14" i="6"/>
  <c r="D14" i="6"/>
  <c r="K14" i="6" s="1"/>
  <c r="T13" i="6"/>
  <c r="S13" i="6"/>
  <c r="N13" i="6"/>
  <c r="M13" i="6"/>
  <c r="D13" i="6"/>
  <c r="K13" i="6" s="1"/>
  <c r="T12" i="6"/>
  <c r="S12" i="6"/>
  <c r="N12" i="6"/>
  <c r="M12" i="6"/>
  <c r="D12" i="6"/>
  <c r="K12" i="6" s="1"/>
  <c r="T11" i="6"/>
  <c r="S11" i="6"/>
  <c r="N11" i="6"/>
  <c r="M11" i="6"/>
  <c r="D11" i="6"/>
  <c r="K11" i="6" s="1"/>
  <c r="U10" i="6"/>
  <c r="U65" i="6" s="1"/>
  <c r="T10" i="6"/>
  <c r="S10" i="6"/>
  <c r="N10" i="6"/>
  <c r="M10" i="6"/>
  <c r="M65" i="6" s="1"/>
  <c r="D10" i="6"/>
  <c r="L10" i="6" s="1"/>
  <c r="L65" i="6" s="1"/>
  <c r="U9" i="6"/>
  <c r="N9" i="6"/>
  <c r="M9" i="6"/>
  <c r="D9" i="6"/>
  <c r="L9" i="6" s="1"/>
  <c r="T8" i="6"/>
  <c r="S8" i="6"/>
  <c r="N8" i="6"/>
  <c r="M8" i="6"/>
  <c r="D8" i="6"/>
  <c r="L8" i="6" s="1"/>
  <c r="T7" i="6"/>
  <c r="S7" i="6"/>
  <c r="N7" i="6"/>
  <c r="M7" i="6"/>
  <c r="D7" i="6"/>
  <c r="L7" i="6" s="1"/>
  <c r="T65" i="6" l="1"/>
  <c r="U66" i="6" s="1"/>
  <c r="N65" i="6"/>
  <c r="S65" i="6"/>
  <c r="K65" i="6"/>
  <c r="O65" i="6"/>
  <c r="S9" i="6"/>
  <c r="T9" i="6"/>
</calcChain>
</file>

<file path=xl/sharedStrings.xml><?xml version="1.0" encoding="utf-8"?>
<sst xmlns="http://schemas.openxmlformats.org/spreadsheetml/2006/main" count="5629" uniqueCount="1375">
  <si>
    <t xml:space="preserve">MINISTERIO DE COMUNICACIONES, INSFRAESTRUCTURA Y VIVIENDA </t>
  </si>
  <si>
    <t xml:space="preserve">INFORMACION RECURSOS HUMANOS </t>
  </si>
  <si>
    <t>DIRECCION GENERAL DE TRASPORTES -DGT-</t>
  </si>
  <si>
    <t xml:space="preserve">RENGLONES PRESUPUESTARIOS </t>
  </si>
  <si>
    <t>11130013-204-00-0101-0007-04-12-00-000-001-000-011-00001</t>
  </si>
  <si>
    <t>11130013-204-00-0101-0006-04-12-00-000-001-000-011-00001</t>
  </si>
  <si>
    <t>11130013-204-00-0101-0007-04-12-00-000-001-000-011-00007</t>
  </si>
  <si>
    <t>11130013-204-00-0101-0007-04-12-00-000-001-000-011-00008</t>
  </si>
  <si>
    <t>11130013-204-00-0101-0007-04-12-00-000-001-000-011-00009</t>
  </si>
  <si>
    <t>11130013-204-00-0101-0007-04-12-00-000-001-000-011-00010</t>
  </si>
  <si>
    <t>11130013-204-00-0101-0007-04-12-00-000-001-000-011-00005</t>
  </si>
  <si>
    <t>11130013-204-00-0101-0007-04-12-00-000-001-000-011-00003</t>
  </si>
  <si>
    <t>11130013-204-00-0101-0004-04-12-00-000-001-000-011-00007</t>
  </si>
  <si>
    <t>11130013-204-00-0101-0005-04-12-00-000-001-000-011-00001</t>
  </si>
  <si>
    <t>11130013-204-00-0101-0005-04-12-00-000-001-000-011-00002</t>
  </si>
  <si>
    <t>11130013-204-00-0101-0005-04-12-00-000-001-000-011-00003</t>
  </si>
  <si>
    <t>11130013-204-00-0101-0004-04-12-00-000-002-000-011-00003</t>
  </si>
  <si>
    <t>11130013-204-00-0101-0004-04-12-00-000-002-000-011-00005</t>
  </si>
  <si>
    <t>11130013-204-00-0101-0004-04-12-00-000-002-000-011-00004</t>
  </si>
  <si>
    <t>11130013-204-00-0101-0001-04-12-00-000-002-000-011-00002</t>
  </si>
  <si>
    <t>11130013-204-00-0101-0001-04-12-00-000-002-000-011-00005</t>
  </si>
  <si>
    <t>11130013-204-00-0101-0001-04-12-00-000-002-000-011-00004</t>
  </si>
  <si>
    <t>11130013-204-00-0101-0001-04-12-00-000-002-000-011-00003</t>
  </si>
  <si>
    <t>11130013-204-00-0101-0001-04-12-00-000-002-000-011-00006</t>
  </si>
  <si>
    <t xml:space="preserve"> </t>
  </si>
  <si>
    <t>MINISTERIO DE COMUNICACIONES, INFRAESTRUCTURA Y VIVIENDA</t>
  </si>
  <si>
    <t>INFORMACIÓN RECURSO HUMANO</t>
  </si>
  <si>
    <t>FONDO PARA EL DESARROLLO DE LA TELEFONÍA</t>
  </si>
  <si>
    <t>EJERCICIO FISCAL 2017</t>
  </si>
  <si>
    <t xml:space="preserve">Puesto </t>
  </si>
  <si>
    <t>RENGLONES PRESUPUESTARIOS</t>
  </si>
  <si>
    <t>Actividad</t>
  </si>
  <si>
    <t>11-00-000-001</t>
  </si>
  <si>
    <t>11-00-000-002</t>
  </si>
  <si>
    <t>EJECICIO FISCAL 2017</t>
  </si>
  <si>
    <t>TÍTULO DE PUESTO</t>
  </si>
  <si>
    <t>CANTIDAD</t>
  </si>
  <si>
    <t xml:space="preserve">SUELDO BASE Q. </t>
  </si>
  <si>
    <t>ESTRUCTURA</t>
  </si>
  <si>
    <t>TÉCNICO III</t>
  </si>
  <si>
    <t>TÉCNICO PROFESIONAL III</t>
  </si>
  <si>
    <t>JEFE TÉCNICO II</t>
  </si>
  <si>
    <t>OFICINISTA II</t>
  </si>
  <si>
    <t>OFICINISTA I</t>
  </si>
  <si>
    <t>OFICINISTA L</t>
  </si>
  <si>
    <t>JEFE TÉCNICO I</t>
  </si>
  <si>
    <t>TÉCNICO I</t>
  </si>
  <si>
    <t>TÉCNICO II</t>
  </si>
  <si>
    <t>DIRECTOR EJECUTIVO III</t>
  </si>
  <si>
    <t>SUB-DIRECTOR EJECUTIVO IV</t>
  </si>
  <si>
    <t xml:space="preserve">CONTADOR GENERAL </t>
  </si>
  <si>
    <t>JEFE DE RECURSOS HUMANOS</t>
  </si>
  <si>
    <t>ENCARGADO DE PRESUPUESTO</t>
  </si>
  <si>
    <t>JEFE DE INFORMÁTICA</t>
  </si>
  <si>
    <t>ENCARGADO DE FONDO ROTATIVO</t>
  </si>
  <si>
    <t>ENCARGADO DE INVENTARIOS</t>
  </si>
  <si>
    <t>SERVICIOS TÉCNICOS CONTABLES</t>
  </si>
  <si>
    <t>SERVICIOS TÉCNICOS EN INFORMÁTICA</t>
  </si>
  <si>
    <t xml:space="preserve">PUESTO  </t>
  </si>
  <si>
    <t>DIRECTOR EJECUTIVO IV</t>
  </si>
  <si>
    <t xml:space="preserve">SUBDIRECTOR EJECUTIVO IV </t>
  </si>
  <si>
    <t>SUBDIRECTOR EJECUTIVO IV</t>
  </si>
  <si>
    <t>SUBDIRECTOR EJECUTIVO II</t>
  </si>
  <si>
    <t>JEFE FINANCIERO</t>
  </si>
  <si>
    <t>CONTADOR</t>
  </si>
  <si>
    <t>ENCARGADO DE COMPRAS</t>
  </si>
  <si>
    <t>ENCARGADO DE ALMACÉN</t>
  </si>
  <si>
    <t>SERVICIOS TÉCNICOS COMO APOYO EN ACTIVIDADES TÉCNICAS A LA ADMINISTRACIÓN</t>
  </si>
  <si>
    <t>SERVICIOS TÉCNICO COMO APOYO LOGÍSTICO DE TRANSPORTES</t>
  </si>
  <si>
    <t>SERVICIOS TÉCNICOS COMO TÉCNICO ADMINISTRATIVO</t>
  </si>
  <si>
    <t>SERVICIOS TÉCNICO COMO TÉCNICO EN RECURSOS HUMANOS</t>
  </si>
  <si>
    <t>SERVICIOS TÉCNICOS COMO TÉCNICO EN SERVICIOS GENERALES</t>
  </si>
  <si>
    <t>SERVICIOS PROFESIONALES COMO APOYO A LA DIRECCIÓN TÉCNICA</t>
  </si>
  <si>
    <t>SERVICIOS TÉCNICOS COMO APOYO EN FUNCIONES TÉCNICAS A LA GERENCIA GENERAL</t>
  </si>
  <si>
    <t>SERVICIOS PROFESIONALES COMO ASESOR DE LA DIRECCIÓN TÉCNICA</t>
  </si>
  <si>
    <t>SERVICIOS TÉCNICOS COMO APOYO EN ORGANIZACIÓN Y MÉTODOS</t>
  </si>
  <si>
    <t>SERVICIOS PROFESIONALES COMO ASESOR DE FONDETEL Y DEL CIV</t>
  </si>
  <si>
    <t>SERVICIOS PROFESIONALES COMO TÉCNICO EN PLANIFICACIÓN</t>
  </si>
  <si>
    <t>SERVICIOS TÉCNICOS COMO TÉCNICO EN TRANSPORTES</t>
  </si>
  <si>
    <t>SERVICIOS TÉCNICOS COMO TÉCNICO EN SUPERVISIÓN DE LA TELEFONÍA</t>
  </si>
  <si>
    <t>SERVICIOS TÉCNICOS COMO ASESORA DE LA GERENCIA GENERAL</t>
  </si>
  <si>
    <t>SERVICIOS PROFESIONALES COMO TÉCNICO EN SERVICIOS JURÍDICOS</t>
  </si>
  <si>
    <t>SERVICIOS TÉCNICO COMO TÉCNICO EN PROYECTOS</t>
  </si>
  <si>
    <t>SERVICIOS TÉCNICOS EN ANÁLISIS Y PLANIFICACIÓN ESTRATÉGICA</t>
  </si>
  <si>
    <t>SERVICIOS TÉCNICO COMO APOYO A LA COORDINACIÓN TÉCNICA</t>
  </si>
  <si>
    <t>TOTAL DE RECURSO HUMANO</t>
  </si>
  <si>
    <t>VIÁTICOS LOCALES</t>
  </si>
  <si>
    <t>SECRETARIO EJECUTIVO III</t>
  </si>
  <si>
    <t>NOMBRE DE LA INSTITUCIÓN   DIRECCIÓN GENERAL DE CORREOS Y TELÉGRAFOS.</t>
  </si>
  <si>
    <t>JEFE DEL DEPARTAMENTO FINANCIERO</t>
  </si>
  <si>
    <t>AUDITOR INTERNO</t>
  </si>
  <si>
    <t>JEFE DEL DEPARTAMENTO INTERNACIONAL</t>
  </si>
  <si>
    <t>CONTADOR GENERAL</t>
  </si>
  <si>
    <t>ENCARGADA DE TESORERÍA</t>
  </si>
  <si>
    <t>ENCARGADO DE COMPRAS Y SUMINISTROS</t>
  </si>
  <si>
    <t>ENCARGADO DE INVENTARIOS Y ACTIVOS FIJOS</t>
  </si>
  <si>
    <t>SERVICIOS TÉCNICOS Y PROFESIONALES</t>
  </si>
  <si>
    <t>UNIDAD EJECUTORA DE CONSERVACION VIAL</t>
  </si>
  <si>
    <t>TITULO DEL PUESTO</t>
  </si>
  <si>
    <t>SUELDO BASE</t>
  </si>
  <si>
    <t>MESES A CONTRATAR</t>
  </si>
  <si>
    <t>TOTAL ANUAL</t>
  </si>
  <si>
    <t>RENGLON PRESUPUESTARIO</t>
  </si>
  <si>
    <t>11-00-00-01-00-021-0101-29-0101-003</t>
  </si>
  <si>
    <t xml:space="preserve">JEFE DEL DEPARTAMENTO DE VISA </t>
  </si>
  <si>
    <t xml:space="preserve">ENCARGADO DE CAJA Y PAGADURIA </t>
  </si>
  <si>
    <t xml:space="preserve">ENCARGADO DE NOMINAS </t>
  </si>
  <si>
    <t>ENCARGADO DE LIQUIDACIONES</t>
  </si>
  <si>
    <t xml:space="preserve">ENCARGADO DE CAJA FISCAL </t>
  </si>
  <si>
    <t xml:space="preserve">ENCARGADO DE COMPRAS </t>
  </si>
  <si>
    <t>ENCARGADO DE ESTIMACIONES</t>
  </si>
  <si>
    <t xml:space="preserve">ENCARGADO DE ALMACEN </t>
  </si>
  <si>
    <t>REVISOR</t>
  </si>
  <si>
    <t>11-00-00-01-00-022-0101-29-0101-003</t>
  </si>
  <si>
    <t>SUBDIRECTOR EJECUTIVO III</t>
  </si>
  <si>
    <t>SERVICIOS TÉCNICOS FINANCIEROS II</t>
  </si>
  <si>
    <t>11-00-00-01-00-029-0101-29-0101-003</t>
  </si>
  <si>
    <t>SERVICIOS TÉCNICOS DECOMPUTACIÓN V</t>
  </si>
  <si>
    <t>SERVICIOS TÉCNICOS DE CONTROL DE DOCUMENTOS I</t>
  </si>
  <si>
    <t>SERVICIOS TÉCNICOS EN COMISIÓN LIQUIDADORA</t>
  </si>
  <si>
    <t>SERVICIOS TÉCNICOS ADMINISTRATIVOS I</t>
  </si>
  <si>
    <t>SERVICIOS PROFESIONALES DE COMPUTACIÓN VI</t>
  </si>
  <si>
    <t>SERVICIOS PROFESIONALES COMO ASESOR DE PLANIFICACIÓN DE OBRAS IV</t>
  </si>
  <si>
    <t>SERVICIOS TÉNICOS FINANCIEROS IV</t>
  </si>
  <si>
    <t>SERVICIOS TÉCNICOS DE APOYO Y LOGÍSTICA VII</t>
  </si>
  <si>
    <t>SERVICIOS TÉCNICOS DE REVISIÓN DE DOCUMENTOS</t>
  </si>
  <si>
    <t>SERVICIOS TÉCNICOS ADMINISTRATIVOS II</t>
  </si>
  <si>
    <t>ASESORA JURÍDICA</t>
  </si>
  <si>
    <t>SERVICIOS TÉCNICOS DE ASISTENTE EN  RIESGO A DESASTRES</t>
  </si>
  <si>
    <t>SERVICIOS TÉCNICOS EN MANTENIMIENTO DE EDIFICIOS I</t>
  </si>
  <si>
    <t>ASESOR JURÍDICO</t>
  </si>
  <si>
    <t>SERVICIOS TÉCNICOS DE APOYO Y LOGÍSTICA II</t>
  </si>
  <si>
    <t>SERVICIOS TÉCNICOS DE APOYO Y LOGÍSTICA III</t>
  </si>
  <si>
    <t>SERVICIOS TÉCNICOS DE APOYO Y LOGÍSTICA X</t>
  </si>
  <si>
    <t>SERVICIOS TÉCNICOS FINANCIEROS III</t>
  </si>
  <si>
    <t>ASESORA EN COMISIÓN LIQUIDADORA</t>
  </si>
  <si>
    <t>SERVICOS TÉCNICOS DE PLANIFICACIÓN</t>
  </si>
  <si>
    <t>SUPERVISOR REGIONAL DE MANTENIMIENTO PERÍODICO</t>
  </si>
  <si>
    <t>ASISTENTE DE RECURSOS HUMANOS</t>
  </si>
  <si>
    <t>SERVICIOS TÉCNICOS DE COMPUTACIÓN II</t>
  </si>
  <si>
    <t>SERVICIOS TÉNCIOS DE APOYO Y LOGÍSTICA IV</t>
  </si>
  <si>
    <t>SERVICIOS TÉCNICOS DE APOYO Y LOGÍSTICA IX</t>
  </si>
  <si>
    <t>SERVICIOS TÉNICOS DE REVISIÓN DE DOCUMENTOS</t>
  </si>
  <si>
    <t>SERVICIOS TÉCNICOS DE CONTROL DE DOCUMENTOS II</t>
  </si>
  <si>
    <t>SUPERVICIÓN DE OBRAS</t>
  </si>
  <si>
    <t>INGENIERÍA EN PLANIFICACIÓN DE OBRAS V</t>
  </si>
  <si>
    <t>SERVICIOS TÉCNICOS DE APOYO Y LOGISTICA V</t>
  </si>
  <si>
    <t>SERVICIOS TÉCNICOS DE APOYO Y LOGÍSTICA</t>
  </si>
  <si>
    <t>SERVICIOS TÉCNICOS  MANTENIMIENTO DE EDIFICIOS I</t>
  </si>
  <si>
    <t>SERVICIOS TÉCNICOS EN COMPUTACIÓN III</t>
  </si>
  <si>
    <t>SERVICIOS TÉCNICOS DE AUDITORIA II</t>
  </si>
  <si>
    <t>SERVICIOS TÉCNICOS DE REVISIÓN DE DOCUMENTOS I</t>
  </si>
  <si>
    <t>AUDITOR II</t>
  </si>
  <si>
    <t>SERVICIOS TÉCNICOS DE AUDITORIA III</t>
  </si>
  <si>
    <t>SERVICIO TÉCNICO DE ASISTENTE FINANCIERO</t>
  </si>
  <si>
    <t>SERVICIOS TÉCNICOS ADMINISTRATIVOS IV</t>
  </si>
  <si>
    <t>SERVICIOS TECNICOS DE REGISTRO Y CONTROL DE DOCUMENTOS</t>
  </si>
  <si>
    <t>SERVICIOS TÉCNICOS DE APOYO Y LOGÍSTICA I</t>
  </si>
  <si>
    <t>SERVICIOS TÉCNICOS DE DIBUJO EN CONSTRUCCIÓN</t>
  </si>
  <si>
    <t>SERVICIOS TÉCNICOS DE CONTROL Y REGISTRO DE DOCUMENTOS</t>
  </si>
  <si>
    <t>SERVICIOS TÉCNICOS FINANCIEROS I</t>
  </si>
  <si>
    <t>SERVICIOS TÉCNICOS DE COMUNICACIÓN SOCIAL I</t>
  </si>
  <si>
    <t>RESERVA PARA PAGO DE PRESTACIONES 021-022</t>
  </si>
  <si>
    <t>TOTAL RENGLONES</t>
  </si>
  <si>
    <t>NOTA: Se incrementa el rengón 029 con un 50% de lo requerido para el renglón 413. Que es un 20% de la sumantoria de los renglones 021 y 022, ya que corresponden a posibles indemnizaciones</t>
  </si>
  <si>
    <t>RENGLONES   PRESUPUESTARIOS</t>
  </si>
  <si>
    <t>11130013-205</t>
  </si>
  <si>
    <t>AUXILIAR DE BODEGA</t>
  </si>
  <si>
    <t>AUXILIAR DE CARPINTERIA</t>
  </si>
  <si>
    <t>AUXILIAR DE ELECTRICIDAD</t>
  </si>
  <si>
    <t>AUXILIAR DE MECANICA</t>
  </si>
  <si>
    <t>BODEGUERO I</t>
  </si>
  <si>
    <t>CONSERJE</t>
  </si>
  <si>
    <t>PEON</t>
  </si>
  <si>
    <t>PEON VIGILANTE I</t>
  </si>
  <si>
    <t>PEON VIGILANTE II</t>
  </si>
  <si>
    <t>ELECTRICISTA</t>
  </si>
  <si>
    <t>ASISTENTE PROFESIONAL II</t>
  </si>
  <si>
    <t>ASISTENTE PROFESIONAL III</t>
  </si>
  <si>
    <t>ASISTENTE PROFESIONAL IV</t>
  </si>
  <si>
    <t>ASISTENTE PROFESIONAL JEFE</t>
  </si>
  <si>
    <t>JEFE TÉCNICO PROFESIONAL I</t>
  </si>
  <si>
    <t>OFICINISTA III</t>
  </si>
  <si>
    <t>PROFESIONAL I</t>
  </si>
  <si>
    <t>SECRETARIO EJECUTIVO I</t>
  </si>
  <si>
    <t>SECRETARIO EJECUTIVO II</t>
  </si>
  <si>
    <t>SECRETARIO OFICINISTA</t>
  </si>
  <si>
    <t>TÉCNICO PROFESIONAL II</t>
  </si>
  <si>
    <t>TRABAJADOR ESPECIALIZADO I</t>
  </si>
  <si>
    <t>TRABAJADOR ESPECIALIZADO II</t>
  </si>
  <si>
    <t>TRABAJADOR OPERATIVO II</t>
  </si>
  <si>
    <t>TRABAJADOR OPERATIVO III</t>
  </si>
  <si>
    <t>TRABAJADOR OPERATIVO IV</t>
  </si>
  <si>
    <t>TRABAJADOR OPERATIVO JEFE I</t>
  </si>
  <si>
    <t>COORDINADOR DE NÓMINAS</t>
  </si>
  <si>
    <t>COORDINADOR ADMINISTRATIVO</t>
  </si>
  <si>
    <t>COORDINADOR DE TRÁNSITO AÉREO</t>
  </si>
  <si>
    <t>JEFE DE REGISTRO AERONÁUTICO</t>
  </si>
  <si>
    <t>COORDINADOR DE CALIFICACIÓN DEL GASTO</t>
  </si>
  <si>
    <t>COORDINADOR DE PRESUPUESTO</t>
  </si>
  <si>
    <t>TESORERO</t>
  </si>
  <si>
    <t>COORD. ADMIN. AEROP MUNDO MAYA</t>
  </si>
  <si>
    <t>ASISTENTE DE COBROS, UNIDAD DE CONTROL DE INGRESOS</t>
  </si>
  <si>
    <t>ASISTENTE DE RECURSOS HUMANOS, GERENCIA DE RECURSOS HUMANOS</t>
  </si>
  <si>
    <t>COORDINADOR ADMINISTRATIVO, GERENCIA DE RECURSOS HUMANOS</t>
  </si>
  <si>
    <t xml:space="preserve">ASISTENTE DE NÓMINAS, GERENCIA DE RECURSOS HUMANOS </t>
  </si>
  <si>
    <t>ASISTENTE DE GERENCIA, GERENCIA DE RECURSOS HUMANOS</t>
  </si>
  <si>
    <t>AUXILIAR DE ELECTRICIDAD, GERENCIA AEROPORTUARIA</t>
  </si>
  <si>
    <t>AUXILIAR DE MANTENIMIENTO, GERENCIA AEROPORTUARIA</t>
  </si>
  <si>
    <t>COORDINADOR DE GRUPO DE OPERACIONES AÉREAS, GERENCIA AEROPORTUARIA</t>
  </si>
  <si>
    <t>SUPERVISOR DE OPERACIONES AÉREAS, GERENCIA AEROPORTUARIA</t>
  </si>
  <si>
    <t>OFICIAL DEL CENTRO DE OPERACIONES DE EMERGENCIA -COE-, GERENCIA AEROPORTUARIA</t>
  </si>
  <si>
    <t>OFICIAL BOMBERO DEL SERVICIO DE EXTINCIÓN DE INCENDIOS -SEI-, GERENCIA AEROPORTUARIA</t>
  </si>
  <si>
    <t xml:space="preserve">TABLAYESERO, GERENCIA AEROPORTUARIA </t>
  </si>
  <si>
    <t>COORDINADOR DE GRUPO DE CIRCUITO CERRADO DE TELEVISIÓN -CCTV-, GERENCIA DE SEGURIDAD AEROPORTUARIA</t>
  </si>
  <si>
    <t>SUPERVISOR DE SEGURIDAD, GERENCIA DE SEGURIDAD AEROPORTUARIA</t>
  </si>
  <si>
    <t>OFICIAL DE SEGURIDAD, GERENCIA DE SEGURIDAD AEROPORTUARIA</t>
  </si>
  <si>
    <t>SUPERVISOR GENERAL DE SEGURIDAD, GERENCIA DE SEGURIDAD AEROPORTUARIA</t>
  </si>
  <si>
    <t>OPERADOR DE RAYOS X, GERENCIA DE SEGURIDAD AEROPORTUARIA</t>
  </si>
  <si>
    <t>AUXILIAR DE COBROS, AEROPUERTO INTERNACIONAL MUNDO MAYA</t>
  </si>
  <si>
    <t>AUXILIAR DE MANTENIMIENTO, AEROPUERTO INTERNACIONAL MUNDO MAYA</t>
  </si>
  <si>
    <t>OFICIAL DEL CENTRO DE OPERACIONES DE EMERGENCIA -COE-, AEROPUERTO INTERNACIONAL MUNDO MAYA</t>
  </si>
  <si>
    <t>OFICIAL BOMBERO DEL SERVICIO DE EXTINCIÓN DE INCENDIOS -SEI-, AEROPUERTO INTERNACIONAL MUNDO MAYA</t>
  </si>
  <si>
    <t>COORDINADOR DE TRÁNSITO AÉREO,  AEROPUERTO INTERNACIONAL MUNDO MAYA</t>
  </si>
  <si>
    <t>CONTROLADOR DE TRÁNSITO AÉREO, RADAR, AEROPUERTO INTERNACIONAL MUNDO MAYA</t>
  </si>
  <si>
    <t>CONTROLADOR DE TRÁNSITO AÉREO, AERÓDROMO, AEROPUERTO INTERNACIONAL MUNDO MAYA</t>
  </si>
  <si>
    <t>OFICIAL DE SERVICIOS DE INFORMACIÓN AERONÁUTICA -A.I.S-, AEROPUERTO INTERNACIONAL MUNDO MAYA</t>
  </si>
  <si>
    <t>SUPERVISOR DE OPERACIONES AÉREAS, AEROPUERTO INTERNACIONAL MUNDO MAYA</t>
  </si>
  <si>
    <t>ASISTENTE TÉCNICO III DEPARTAMENTO DE RADAR, AEROPUERTO INTERNACIONAL MUNDO MAYA</t>
  </si>
  <si>
    <t>ASISTENTE TÉCNICO II DEPARTAMENTO DE RADAR, AEROPUERTO INTERNACIONAL MUNDO MAYA</t>
  </si>
  <si>
    <t>CUSTODIO DE ANTENA DE RADAR NIKTUN, AEROPUERTO INTERNACIONAL MUNDO MAYA</t>
  </si>
  <si>
    <t>CUSTODIO DE TORRE DE TELECOMUNICACIONES PURUSILÁ, AEROPUERTO INTERNACIONAL MUNDO MAYA</t>
  </si>
  <si>
    <t>CUSTODIO DE TORRE DE TELECOMUNICACIONES SABANETA, AEROPUERTO INTERNACIONAL MUNDO MAYA</t>
  </si>
  <si>
    <t>SUPERVISOR GENERAL DE SEGURIDAD, AEROPUERTO INTERNACIONAL MUNDO MAYA</t>
  </si>
  <si>
    <t>SUPERVISOR DE SEGURIDAD, AEROPUERTO INTERNACIONAL MUNDO MAYA</t>
  </si>
  <si>
    <t>OFICIAL DE SEGURIDAD, AEROPUERTO INTERNACIONAL MUNDO MAYA</t>
  </si>
  <si>
    <t>AUXILIAR DE MANTENIMIENTO, AERÓDROMO DE POPTÚN, PETÉN</t>
  </si>
  <si>
    <t>ASISTENTE EN COMUNICACIONES AERONÁUTICAS III, GERENCIA DE TELECOMUNICACIONES</t>
  </si>
  <si>
    <t>ASISTENTE DE AYUDAS VISUALES II, GERENCIA DE TELECOMUNICACIONES</t>
  </si>
  <si>
    <t>CONTROLADOR DE TRÁNSITO AÉREO, SUPERFICIE, GERENCIA DE NAVEGACIÓN AÉREA</t>
  </si>
  <si>
    <t>CONTROLADOR DE TRÁNSITO AÉREO, RADAR, GERENCIA DE NAVEGACIÓN AÉREA</t>
  </si>
  <si>
    <t>SUPERVISOR E INSTRUCTOR DE TRÁNSITO AÉREO, RADAR, GERENCIA DE NAVEGACIÓN AÉREA</t>
  </si>
  <si>
    <t>CONTROLADOR DE TRÁNSITO AÉREO, RADAR Y COORDINADOR PANS-OPS, GERENCIA DE NAVEGACIÓN AÉREA</t>
  </si>
  <si>
    <t>SUPERVISOR DE TRÁNSITO AÉREO, RADAR, GERENCIA DE NAVEGACIÓN AÉREA</t>
  </si>
  <si>
    <t>ASESOR, GERENCIA DE NAVEGACIÓN AÉREA</t>
  </si>
  <si>
    <t>SUPERVISOR E INSTRUCTOR DE TRÁNSITO AÉREO, AERÓDROMO, GERENCIA DE NAVEGACIÓN AÉREA</t>
  </si>
  <si>
    <t>CONTROLADOR DE TRÁNSITO AÉREO, AERÓDROMO, GERENCIA DE NAVEGACIÓN AÉREA</t>
  </si>
  <si>
    <t>SUPERVISOR DE TRÁNSITO AÉREO, AERÓDROMO, GERENCIA DE NAVEGACIÓN AÉREA</t>
  </si>
  <si>
    <t>COORDINADOR DE TRÁNSITO AÉREO, GERENCIA DE NAVEGACIÓN AÉREA</t>
  </si>
  <si>
    <t>SUPERVISOR DE SERVICIOS DE INFORMACIÓN AERONAUTICA -A.I.S-, GERENCIA DE NAVEGACIÓN AÉREA</t>
  </si>
  <si>
    <t>OFICIAL DE SERVICIOS DE INFORMACIÓN AERONAUTICA -A.I.S-, GERENCIA DE NAVEGACIÓN AÉREA</t>
  </si>
  <si>
    <t>ASISTENTE TÉCNICO, GERENCIA DE INGENIERÍA ELECTRÓNICA Y RADAR</t>
  </si>
  <si>
    <t>CUSTODIO DE ANTENA DE RADAR, PALENCIA, GERENCIA DE INGENIERÍA ELECTRÓNICA Y RADAR</t>
  </si>
  <si>
    <t>ASISTENTE DE RECURSOS HUMANOS, MINISTERIO DE COMUNICACIONES, INFRAESTRUCTURA Y VIVIENDA</t>
  </si>
  <si>
    <t>CONTROLADOR DE TRÁNSITO AÉREO AERÓDROMO, AERÓDROMO DE PUERTO BARRIOS IZABAL</t>
  </si>
  <si>
    <t>OFICIAL DE SEGURIDAD, AERÓDROMO DE PUERTO BARRIOS IZABAL</t>
  </si>
  <si>
    <t>OFICIAL DE SEGURIDAD, AERÓDROMO DE COBAN, ALTA VERAPAZ</t>
  </si>
  <si>
    <t>OFICIAL DE SEGURIDAD, AERÓDROMO DE HUEHUETENANGO</t>
  </si>
  <si>
    <t>ADMINISTRADOR, AERÓDROMO DE HUEHUETENANGO</t>
  </si>
  <si>
    <t>OFICIAL DE SEGURIDAD, AERÓDROMO DE QUETZALTENANGO</t>
  </si>
  <si>
    <t>OFICIAL DE SEGURIDAD, AERÓDROMO DE SAN MARCOS</t>
  </si>
  <si>
    <t>CONTROLADOR DE TRÁNSITO AÉREO, AERÓDROMO, AERÓDROMO DE RETALHULEU</t>
  </si>
  <si>
    <t>CONTROLADOR DE TRÁNSITO AÉREO, SUPERFICIE,  AERÓDROMO DE SAN JOSÉ, ESCUINTLA</t>
  </si>
  <si>
    <t>CONTROLADOR DE TRÁNSITO AÉREO, AERÓDROMO, AERÓDROMO DE SAN JOSÉ, ESCUINTLA</t>
  </si>
  <si>
    <t>OFICIAL DE SEGURIDAD, AERÓDROMO DE SAN JOSÉ, ESCUINTLA</t>
  </si>
  <si>
    <t>CUSTODIO, ESTACIÓN RADAR, AERÓDROMO DE SAN JOSÉ, ESCUINTLA</t>
  </si>
  <si>
    <t>ASISTENTE DE CONTRATOS, GERENCIA DE RECURSOS HUMANOS</t>
  </si>
  <si>
    <t>AUXILIAR DE MENSAJERÍA, GERENCIA DE RECURSOS HUMANOS</t>
  </si>
  <si>
    <t>COORDINADOR, UNIDAD DE INVESTIGACIÓN DE ACCIDENTES</t>
  </si>
  <si>
    <t>INVESTIGADOR DE ACCIDENTES, UNIDAD DE INVESTIGACIÓN DE ACCIDENTES</t>
  </si>
  <si>
    <t>ASISTENTE DE CAPACITACIÓN, GERENCIA DE RECURSOS HUMANOS</t>
  </si>
  <si>
    <t>ASISTENTE DE ARCHIVO, GERENCIA DE RECURSOS HUMANOS</t>
  </si>
  <si>
    <t>ASISTENTE,  GERENCIA DE RECURSOS HUMANOS</t>
  </si>
  <si>
    <t>AUXILIAR DE MANTENIMIENTO, CAPACITACIÓN, GERENCIA DE RECURSOS HUMANOS</t>
  </si>
  <si>
    <t>SUPERVISOR DE ATENCIÓN AL PASAJERO, GERENCIA AEROPORTUARIA</t>
  </si>
  <si>
    <t>OFICIAL DE ATENCIÓN AL PASAJERO, GERENCIA AEROPORTUARIA</t>
  </si>
  <si>
    <t>OFICIAL DE INFORMACIÓN DE VUELOS, GERENCIA AEROPORTUARIA</t>
  </si>
  <si>
    <t>COORDINADOR DE GRUPO DE MANTENIMIENTO, GERENCIA AEROPORTUARIA</t>
  </si>
  <si>
    <t>SUPERVISOR DE MANTENIMIENTO, GERENCIA AEROPORTUARIA</t>
  </si>
  <si>
    <t>SUPERVISOR GENERAL DE MANTENIMIENTO, GERENCIA AEROPORTUARIA</t>
  </si>
  <si>
    <t>TÉCNICO DE PASARELAS DE ABORDAJE, GERENCIA AEROPORTUARIA</t>
  </si>
  <si>
    <t>COORDINADOR DEL CENTRO DE OPERACIONES DE EMERGENCIA -COE-, GERENCIA AEROPORTUARIA</t>
  </si>
  <si>
    <t>SUPERVISOR DE CIRCUITO CERRADO DE TELEVISIÓN -CCTV-, GERENCIA DE SEGURIDAD AEROPORTUARIA</t>
  </si>
  <si>
    <t>OPERADOR DE CIRCUITO CERRADO DE TELEVISIÓN -CCTV-, GERENCIA DE SEGURIDAD AEROPORTUARIA</t>
  </si>
  <si>
    <t>SUPERVISOR GENERAL, GERENCIA DE SEGURIDAD AEROPORTUARIA</t>
  </si>
  <si>
    <t>TÉCNICO EQUIPO DE RAYOS "X", GERENCIA DE SEGURIDAD AEROPORTUARIA</t>
  </si>
  <si>
    <t>COORDINADOR DE SEGURIDAD PERIMETRAL, GERENCIA DE SEGURIDAD AEROPORTUARIA</t>
  </si>
  <si>
    <t>SUPERVISOR DE CONTROL DE CALIDAD, GERENCIA DE SEGURIDAD AEROPORTURIA</t>
  </si>
  <si>
    <t>SUPERVISOR DE RAYOS X, GERENCIA DE SEGURIDAD AEROPORTUARIA</t>
  </si>
  <si>
    <t>ASESOR DE SEGURIDAD, GERENCIA NACIONAL DE SEGURIDAD AEROPORTUARIA</t>
  </si>
  <si>
    <t>SUB-COORDINADOR DE OPERACIONES DE SEGURIDAD, GERENCIA DE SEGURIDAD AEROPORTUARIA</t>
  </si>
  <si>
    <t>COORDINADOR DE SEGURIDAD, AEROPUERTO INTERNACIONAL MUNDO MAYA</t>
  </si>
  <si>
    <t>COORDINADOR DEL SERVICIO DE EXTINCIÓN DE INCENDIOS -SEI-, AEROPUERTO INTERNACIONAL MUNDO MAYA</t>
  </si>
  <si>
    <t>TÉCNICO DE RADAR, DEPARTAMENTO DE RADAR, AEROPUERTO INTERNACIONAL MUNDO MAYA</t>
  </si>
  <si>
    <t>COORDINADOR DEPARTAMENTO DE TELECOMUNICACIONES, AEROPUERTO INTERNACIONAL MUNDO MAYA</t>
  </si>
  <si>
    <t>ASISTENTE DE AYUDAS VISUALES, DEPARTAMENTO DE TELECOMUNICACIONES, AEROPUERTO INTERNACIONAL MUNDO MAYA</t>
  </si>
  <si>
    <t>TÉCNICO DE TELECOMUNICACIONES, DEPARTAMENTO DE TELECOMUNICACIONES, AEROPUERTO INTERNACIONAL MUNDO MAYA</t>
  </si>
  <si>
    <t>CUSTODIO DE TORRE DE TELECOMUNICACIONES NUEVA LIBERTAD SAYAXCHÉ, AEROPUERTO INTERNACIONAL MUNDO MAYA</t>
  </si>
  <si>
    <t>SUB-COORDINADOR DE SEGURIDAD, AEROPUERTO INTERNACIONAL MUNDO MAYA</t>
  </si>
  <si>
    <t>AUXILIAR TÉCNICO, AERÓDROMO DE SAN JOSÉ, GERENCIA DE TELECOMUNICACIONES</t>
  </si>
  <si>
    <t>CUSTODIO DE TORRE DE TELECOMUNICACIONES,  XUCANEB, COBÁN, GERENCIA DE TELECOMUNICACIONES</t>
  </si>
  <si>
    <t>TÉCNICO DE TELECOMUNICACIONES, GERENCIA DE TELECOMUNICACIONES</t>
  </si>
  <si>
    <t>TÉCNICO EN ELECTRICIDAD, GERENCIA DE TELECOMUNICACIONES</t>
  </si>
  <si>
    <t>COORDINADOR DE SECCIÓN AFTN/ATM, GERENCIA DE TELECOMUNICACIONES</t>
  </si>
  <si>
    <t>ASISTENTE DE AYUDAS VISUALES I, GERENCIA DE TELECOMUNICACIONES</t>
  </si>
  <si>
    <t>COORDINADOR DE SECCIÓN AYUDAS VISUALES Y ELECTRICIDAD AERONÁUTICA, GERENCIA DE TELECOMUNICACIONES</t>
  </si>
  <si>
    <t>COORDINADOR DE SECCIÓN AMS, GERENCIA DE TELECOMUNICACIONES</t>
  </si>
  <si>
    <t>SUPERVISOR DE RADIO AYUDAS, GERENCIA DE TELECOMUNICACIONES</t>
  </si>
  <si>
    <t>CUSTODIO DE PISTA DE ATERRIZAJE, SAN JERONIMO, BAJA VERAPAZ, GERENCIA DE INFRAESTRUCTURA AEROPORTUARIA</t>
  </si>
  <si>
    <t>CUSTODIO DE PISTA DE ATERRIZAJE, CHIQUIMULA, GERENCIA DE INFRAESTRUCTURA AEROPORTUARIA</t>
  </si>
  <si>
    <t>COORDINADOR DE SERVICIOS DE INFORMACIÓN AERONAUTICA -A.I.S-, GERENCIA DE NAVEGACIÓN AÉREA</t>
  </si>
  <si>
    <t>SUPERVISOR GENERAL DE SERVICIOS DE INFORMACIÓN AERONAUTICA -A.I.S-, GERENCIA DE NAVEGACIÓN AÉREA</t>
  </si>
  <si>
    <t>CONTROLADOR  DE TRÁNSITO AÉREO, SUPERFICIE, GERENCIA DE NAVEGACIÓN AÉREA</t>
  </si>
  <si>
    <t>AUXILIAR DE MANTENIMIENTO, GERENCIA DE NAVEGACIÓN AÉREA</t>
  </si>
  <si>
    <t>ASISTENTE ADMINISTRATIVO, GERENCIA DE INGENIERÍA ELECTRÓNICA Y RADAR</t>
  </si>
  <si>
    <t>INSPECTOR DE OPERACIONES, GERENCIA DE ESTANDARES DE VUELO</t>
  </si>
  <si>
    <t>INSPECTOR DE AERONAVEGABILIDAD, GERENCIA DE ESTANDARES DE VUELO</t>
  </si>
  <si>
    <t>INSPECTOR TÉCNICO EN AVIONICA, GERENCIA DE ESTANDARES DE VUELO</t>
  </si>
  <si>
    <t>INSPECTOR TRIPULACIÓN DE CABINA Y ASISTENTE DE CAPACITACIÓN, GERENCIA DE ESTANDARES DE VUELO</t>
  </si>
  <si>
    <t>INSPECTOR DE MERCANCIAS PELIGROSAS Y DESPACHO AÉREO, GERENCIA DE ESTANDARES DE VUELO</t>
  </si>
  <si>
    <t>SUPERVISOR, AERÓDROMO DE PUERTO BARRIOS IZABAL</t>
  </si>
  <si>
    <t>COORDINADOR DE SEGURIDAD, AERÓDROMO DE QUETZALTENANGO</t>
  </si>
  <si>
    <t>AUXILIAR DE MANTENIMIENTO, AERÓDROMO DE COATEPEQUE, QUETZALTENANGO</t>
  </si>
  <si>
    <t>COORDINADOR DE SEGURIDAD, AERÓDROMO DE SAN MARCOS</t>
  </si>
  <si>
    <t>CUSTODIO DE TORRE DE TELECOMUNICACIONES, AERÓDROMO DE RETALHULEU</t>
  </si>
  <si>
    <t>COORDINADOR DE SEGURIDAD, AERÓDROMO DE SAN JOSÉ, ESCUINTLA</t>
  </si>
  <si>
    <t>COORDINADOR PROGRAMA NACIONAL DE SEGURIDAD OPERACIONAL -SSP-, UNIDAD DE NORMAS DE SEGURIDAD AERONÁUTICA -UNSA-</t>
  </si>
  <si>
    <t>INSPECTOR, UNIDAD DE NORMAS DE SEGURIDAD AERONÁUTICA -UNSA-</t>
  </si>
  <si>
    <t>DELEGADA DE RECURSOS HUMANOS, GERENCIA AEROPORTUARIA</t>
  </si>
  <si>
    <t>COORDINADOR DE OPERACIONES AÉREAS, GERENCIA AEROPORTUARIA</t>
  </si>
  <si>
    <t>OFICIAL DE LICENCIAS, GERENCIA DE LICENCIAS AERONÁUTICAS</t>
  </si>
  <si>
    <t>COORDINADOR DE CERTIFICACIONES, UNIDAD DE NORMAS DE SEGURIDAD AERONÁUTICA -UNSA-</t>
  </si>
  <si>
    <t>SUPERVISOR DE SERVICIOS DE INFORMACIÓN AERONÁUTICA -A.I.S.-, GERENCIA DE NAVEGACIÓN AÉREA</t>
  </si>
  <si>
    <t>ASISTENTE JURÍDICO DE CAPACITACIÓN, GERENCIA DE RECURSOS HUMANOS</t>
  </si>
  <si>
    <t>COORDINADOR DE MANTENIMIENTO DE VEHÍCULOS Y RADIOS, GERENCIA DE SEGURIDAD AEROPORTUARIA</t>
  </si>
  <si>
    <t>COORDINADOR DE DECOMISOS, GERENCIA DE SEGURIDAD AEROPORTUARIA</t>
  </si>
  <si>
    <t>MECÁNICO DE RAYOS X, GERENCIA DE SEGURIDAD AEROPORTUARIA</t>
  </si>
  <si>
    <t>CONTROLADOR DE TRÁNSITO AÉREO, AERÓDROMO, AERÓDROMO DE POPTÚN, PETÉN</t>
  </si>
  <si>
    <t>CONTROLADOR DE TRÁNSITO AÉREO, AERÓDROMO DE POPTÚN, PETÉN</t>
  </si>
  <si>
    <t>CUSTODIO DE TORRE DE SAN VICENTE PACAYA, GERENCIA DE TELECOMUNICACIONES</t>
  </si>
  <si>
    <t>ADMINISTRADOR DE AERÓDROMO, SAN JOSÉ, ESCUINTLA, GERENCIA DE INFRAESTRUCTURA AEROPORTUARIA</t>
  </si>
  <si>
    <t>AUXILIAR DE SERVICIOS DE INFORMACIÓN AERONAUTICA -A.I.S-, GERENCIA DE NAVEGACIÓN AÉREA</t>
  </si>
  <si>
    <t>CUSTODIO, AERÓDROMO DE SAN JOSE, ESCUINTLA</t>
  </si>
  <si>
    <t>ADMINISTRADOR, AERÓDROMO DE QUETZALTENANGO</t>
  </si>
  <si>
    <t>CONTROLADOR DE TRÁNSITO AÉREO, AERÓDROMO, Y DISEÑADOR DE PANS-OPS, GERENCIA DE NAVEGACIÓN AÉREA</t>
  </si>
  <si>
    <t>ASISTENTE FINANCIERO AEROPUERTO INTERNACIONAL MUNDO MAYA</t>
  </si>
  <si>
    <t>ASESOR DE LICENCIAS, GERENCIA DE LICENCIAS AERONÁUTICAS</t>
  </si>
  <si>
    <t>ASESOR, GERENCIA DE TELECOMUNICACIONES</t>
  </si>
  <si>
    <t>ASISTENTE DE NÓMINAS, GERENCIA DE RECURSOS HUMANOS</t>
  </si>
  <si>
    <t>AUXILIAR DE MENSAJERÍA, DIRECCIÓN SUPERIOR</t>
  </si>
  <si>
    <t>SUPERVISOR DE MANTENIMIENTO, DIRECCIÓN SUPERIOR</t>
  </si>
  <si>
    <t>COORDINADOR DE DONACIONES, DIRECCIÓN SUPERIOR</t>
  </si>
  <si>
    <t>ASISTENTE ADMINISTRATIVO, UNIDAD DE COMPRAS</t>
  </si>
  <si>
    <t>ASESOR ADMINISTRATIVO, DIRECCIÓN SUPERIOR</t>
  </si>
  <si>
    <t>ASISTENTE, UNIDAD DE PLANIFICACIÓN</t>
  </si>
  <si>
    <t>ASISTENTE ADMINISTRATIVO, UNIDAD DE AUDITORÍA INTERNA</t>
  </si>
  <si>
    <t>ASESOR, UNIDAD DE RELACIONES PÚBLICAS</t>
  </si>
  <si>
    <t>ASISTENTE  ADMINISTRATIVO, UNIDAD DE RELACIONES INTERNACIONALES</t>
  </si>
  <si>
    <t>COORDINADOR, UNIDAD DE ACCESO A LA INFORMACIÓN PÚBLICA</t>
  </si>
  <si>
    <t>ASISTENTE JURÍDICO, UNIDAD DE ASESORÍA JURÍDICA</t>
  </si>
  <si>
    <t>ASISTENTE ADMINISTRATIVO, UNIDAD DE ESTADÍSTICA</t>
  </si>
  <si>
    <t>ASESOR DE ESTADÍSTICA, UNIDAD DE ESTADÍSTICA</t>
  </si>
  <si>
    <t>AUXILIAR DE MENSAJERÍA, UNIDAD DE COMPRAS</t>
  </si>
  <si>
    <t>ASISTENTE DE COMPRAS, UNIDAD DE COMPRAS</t>
  </si>
  <si>
    <t>ANALISTA, UNIDAD DE CONTROL DE INGRESOS</t>
  </si>
  <si>
    <t>SUPERVISOR,  UNIDAD DE CONTROL DE INGRESOS</t>
  </si>
  <si>
    <t>MARIMBISTA, UNIDAD DE SERVICIOS ADMINISTRATIVOS</t>
  </si>
  <si>
    <t>GESTOR, GERENCIA FINANCIERA</t>
  </si>
  <si>
    <t>ASISTENTE FINANCIERO, GERENCIA FINANCIERA</t>
  </si>
  <si>
    <t>ASISTENTE ADMINISTRATIVO, GERENCIA DE ESTÁNDARES DE VUELO</t>
  </si>
  <si>
    <t>ASISTENTE ADMINISTRATIVO, GERENCIA AEROPORTUARIA</t>
  </si>
  <si>
    <t>ASISTENTE DE SEGURIDAD OPERACIONAL -SMS-, GERENCIA AEROPORTUARIA</t>
  </si>
  <si>
    <t>BODEGUERO, GERENCIA AEROPORTUARIA</t>
  </si>
  <si>
    <t>AUXILIAR ADMINISTRATIVO, GERENCIA AEROPORTUARIA</t>
  </si>
  <si>
    <t>ASISTENTE ADMINISTRATIVO DEL CENTRO DE OPERACIONES DE EMERGENCIA -COE-, GERENCIA AEROPORTUARIA</t>
  </si>
  <si>
    <t>COORDINADOR ADMINISTRATIVO DE ARRENDATARIOS, GERENCIA AEROPORTUARIA</t>
  </si>
  <si>
    <t>ASISTENTE DE ESTADÍSTICA, UNIDAD DE ESTADÍSTICA</t>
  </si>
  <si>
    <t>ASISTENTE ADMINISTRATIVO, GERENCIA DE SEGURIDAD AEROPORTUARIA</t>
  </si>
  <si>
    <t>ASISTENTE UNIDAD DE GAFETES, GERENCIA DE SEGURIDAD AEROPORTUARIA</t>
  </si>
  <si>
    <t>ASISTENTE UNIDAD DE ANALISIS DE RIESGOS, GERENCIA DE SEGURIDAD AEROPORTUARIA</t>
  </si>
  <si>
    <t>COORDINADOR DE INVENTARIO, GERENCIA DE SEGURIDAD AEROPORTUARIA</t>
  </si>
  <si>
    <t>INSTRUCTOR UNIDAD DE INSTRUCCIÓN, GERENCIA DE SEGURIDAD AEROPORTUARIA</t>
  </si>
  <si>
    <t>DELEGADO DE RECURSOS HUMANOS, AEROPUERTO INTERNACIONAL MUNDO MAYA</t>
  </si>
  <si>
    <t>ASISTENTE DE ALMACÉN, AEROPUERTO INTERNACIONAL MUNDO MAYA</t>
  </si>
  <si>
    <t>ASISTENTE FINANCIERO, AEROPUERTO INTERNACIONAL MUNDO MAYA</t>
  </si>
  <si>
    <t>AUXILIAR DE SOLDADURA, AEROPUERTO INTERNACIONAL MUNDO MAYA</t>
  </si>
  <si>
    <t>ASISTENTE ADMINISTRATIVO, AEROPUERTO INTERNACIONAL MUNDO MAYA</t>
  </si>
  <si>
    <t>ASISTENTE DE ESTADÍSTICA, AEROPUERTO INTERNACIONAL MUNDO MAYA</t>
  </si>
  <si>
    <t>ASISTENTE ADMINISTRATIVO, SUBDIRECCIÓN TÉCNICO OPERATIVA</t>
  </si>
  <si>
    <t>ASISTENTE ADMINISTRATIVO, GERENCIA DE TELECOMUNICACIONES</t>
  </si>
  <si>
    <t>ASISTENTE DE INFORMÁTICA, GERENCIA DE TELECOMUNICACIONES</t>
  </si>
  <si>
    <t>ASESOR, GERENCIA DE TRANSPORTE AÉREO</t>
  </si>
  <si>
    <t>SUPERVISOR DE MANTENIMIENTO, GERENCIA DE INFRAESTRUCTURA AEROPORTUARIA</t>
  </si>
  <si>
    <t>TOPÓGRAFO, GERENCIA DE INFRAESTRUCTURA AEROPORTUARIA</t>
  </si>
  <si>
    <t>AUXILIAR DE ELECTRICIDAD, GERENCIA DE INFRAESTRUCTURA AEROPORTUARIA</t>
  </si>
  <si>
    <t>COORDINADOR DE MANTENIMIENTO, GERENCIA DE INFRAESTRUCTURA AEROPORTUARIA</t>
  </si>
  <si>
    <t>ALBAÑIL, GERENCIA DE INFRAESTRUCTURA AEROPORTUARIA</t>
  </si>
  <si>
    <t>AUXILIAR DE MANTENIMIENTO, GERENCIA DE INFRAESTRUCTURA AEROPORTUARIA</t>
  </si>
  <si>
    <t>AUXILIAR DE PLATAFORMA, GERENCIA DE INFRAESTRUCTURA AEROPORTUARIA</t>
  </si>
  <si>
    <t>TABLAYESERO, GERENCIA DE INFRAESTRUCTURA AEROPORTUARIA</t>
  </si>
  <si>
    <t>AUXILIAR DE TALLERES Y TRANSPORTE, GERENCIA DE INFRAESTRUCTURA AEROPORTUARIA</t>
  </si>
  <si>
    <t>AUXILIAR DE MANTENIMIENTO DE EDIFICIO, GERENCIA DE INFRAESTRUCTURA AEROPORTUARIA</t>
  </si>
  <si>
    <t>AUXILIAR DE MANTENIMIENTO, AERÓDROMO DE COBAN, GERENCIA DE INFRAESTRUCTURA AEROPORTUARIA</t>
  </si>
  <si>
    <t>ASISTENTE ADMINISTRATIVO, GERENCIA DE NAVEGACIÓN AÉREA</t>
  </si>
  <si>
    <t>ASISTENTE ADMINISTRATIVO PANS OPS, GERENCIA DE NAVEGACIÓN AÉREA</t>
  </si>
  <si>
    <t>ANALISTA, GERENCIA DE REGISTRO AERONÁUTICO</t>
  </si>
  <si>
    <t>ASISTENTE TÉCNICO, GERENCIA DE ESTANDARES DE VUELO</t>
  </si>
  <si>
    <t>ASISTENTE ADMINISTRATIVO, GERENCIA DE ESTANDARES DE VUELO</t>
  </si>
  <si>
    <t>ASISTENTE BIBLIOTECARIO, GERENCIA DE ESTANDARES DE VUELO</t>
  </si>
  <si>
    <t>INSPECTOR DE LICENCIAS, GERENCIA DE LICENCIAS AERONÁUTICAS</t>
  </si>
  <si>
    <t>ASISTENTE ADMINISTRATIVO, GERENCIA DE LICENCIAS AERONÁUTICAS</t>
  </si>
  <si>
    <t>INSPECTOR DE ESCUELAS AERONÁUTICAS, GERENCIA DE LICENCIAS AERONÁUTICAS</t>
  </si>
  <si>
    <t>AUXILIAR DE ALMACÉN, ALMACÉN GENERAL</t>
  </si>
  <si>
    <t>AUXILIAR DE MANTENIMIENTO, MINISTERIO DE COMUNICACIONES, INFRAESTRUCTURA Y VIVIENDA</t>
  </si>
  <si>
    <t>ASISTENTE EDUCATIVA JARDIN INFANTIL, MINISTERIO DE COMUNICACIONES, INFRAESTRUCTURA Y VIVIENDA</t>
  </si>
  <si>
    <t>AUXILIAR DE MANTENIMIENTO, AERÓDROMO DE RETALHULEU</t>
  </si>
  <si>
    <t>ASISTENTE DE INFORMÁTICA, UNIDAD DE INFORMÁTICA Y TECNOLOGÍA</t>
  </si>
  <si>
    <t>ASISTENTE ADMINISTRATIVO, DIRECCIÓN SUPERIOR</t>
  </si>
  <si>
    <t>AUXILIAR DE TOPOGRAFÍA, GERENCIA DE INFRAESTRUCTURA AEROPORTUARIA</t>
  </si>
  <si>
    <t>COORDINADOR DE COMPRAS, AEROPUERTO INTERNACIONAL MUNDO MAYA</t>
  </si>
  <si>
    <t>ASISTENTE JURÍDICO, AEROPUERTO INTERNACIONAL MUNDO MAYA</t>
  </si>
  <si>
    <t>COORDINADOR REGIONAL DE AERÓDROMOS, GERENCIA DE INFRAESTRUCTURA AEROPORTUARIA</t>
  </si>
  <si>
    <t>TÉCNICO EN INFRAESTRUCTURA, GERENCIA DE INFRAESTRUCTURA AEROPORTUARIA</t>
  </si>
  <si>
    <t>ASISTENTE DE GEODESIA, GERENCIA DE INFRAESTRUCTURA AEROPORTUARIA</t>
  </si>
  <si>
    <t>AUXILIAR DE MANTENIMIENTO, AERÓDROMO DE QUETZALTENANGO</t>
  </si>
  <si>
    <t>ASISTENTE, GERENCIA DE INFRAESTRUCTURA AEROPORTUARIA</t>
  </si>
  <si>
    <t>ASISTENTE DE AUDITORÍA,  UNIDAD DE AUDITORÍA INTERNA</t>
  </si>
  <si>
    <t>COORDINADOR DE ARCHIVO, GERENCIA FINANCIERA</t>
  </si>
  <si>
    <t>TÉCNICO DE INFRAESTRUCTURA, GERENCIA DE INFRAESTRUCTURA AEROPORTUARIA</t>
  </si>
  <si>
    <t>COORDINADORA, UNIDAD DE SERVICIOS ADMINSITRATIVOS</t>
  </si>
  <si>
    <t>UNIDAD DE ACCESO A LA INFORMACIÓN PÚBLICA</t>
  </si>
  <si>
    <t>ASESOR, GERENCIA DE ESTANDARES DE VUELO</t>
  </si>
  <si>
    <t>INSPECTOR TÉCNICO, GERENCIA DE ESTANDARES DE VUELO</t>
  </si>
  <si>
    <t>PILOTO AUTOMOVILISTA, DIRECCIÓN SUPERIOR</t>
  </si>
  <si>
    <t>ASESOR ADMINISTRATIVO, GERENCIA DE RECURSOS HUMANOS</t>
  </si>
  <si>
    <t>ASESOR TÉCNICO-OPERATIVO, DIRECCIÓN SUPERIOR</t>
  </si>
  <si>
    <t>ASESOR DE RECURSOS HUMANOS, GERENCIA DE RECURSOS HUMANOS</t>
  </si>
  <si>
    <t>INGENIERO DE RADAR , GERENCIA DE INGENIERÍA ELECTRÓNICA Y RADAR</t>
  </si>
  <si>
    <t>COORDINADORA DE CAPACITACIÓN, GERENCIA DE RECURSOS HUMANOS</t>
  </si>
  <si>
    <t>COORDINADOR DEPARTAMENTO DE RADAR, AEROPUERTO INTERNACIONAL MUNDO MAYA</t>
  </si>
  <si>
    <t>ASESOR DE RADAR, GERENCIA DE INGENIERÍA ELECTRÓNICA Y RADAR</t>
  </si>
  <si>
    <t>INGENIERO DE RADAR, GERENCIA DE INGENIERÍA ELECTRÓNICA Y RADAR</t>
  </si>
  <si>
    <t>ADMINISTRADOR, AERÓDROMO COBAN, ALTA VERAPAZ</t>
  </si>
  <si>
    <t>COORDINADOR DE SEGURIDAD, GERENCIA DE SEGURIDAD AEROPORTUARIA</t>
  </si>
  <si>
    <t>RECEPCIONISTA, DIRECCIÓN SUPERIOR</t>
  </si>
  <si>
    <t>ASESOR DE PLANIFICACIÓN, UNIDAD DE PLANIFICACIÓN</t>
  </si>
  <si>
    <t>AUXILIAR DE AUDITORÍA, UNIDAD DE AUDITORÍA INTERNA</t>
  </si>
  <si>
    <t>MEDICO DE PERSONAL, GERENCIA DE RECURSOS HUMANOS</t>
  </si>
  <si>
    <t>ASESOR ADMINISTRATIVO, UNIDAD DE AUDITORÍA INTERNA</t>
  </si>
  <si>
    <t>MEDICO DE MEDICINA DE AVIACIÓN, GERENCIA DE LICENCIAS AERONÁUTICAS</t>
  </si>
  <si>
    <t>ASISTENTE DE ESTADÍSTICA, GERENCIA DE SEGURIDAD AEROPORTUARIA</t>
  </si>
  <si>
    <t>ASESOR JURÍDICO, UNIDAD DE NORMAS DE SEGURIDAD AERONÁUTICA -UNSA-</t>
  </si>
  <si>
    <t>AUXILIAR DE AUDITORÍA INTERNA, UNIDAD DE AUDITORÍA INTERNA</t>
  </si>
  <si>
    <t>ASESOR JURÍDICO, UNIDAD DE ASESORÍA JURÍDICA</t>
  </si>
  <si>
    <t>ASESOR FINANCIERO, DIRECCIÓN SUPERIOR</t>
  </si>
  <si>
    <t>ASESOR, SECRETARÍA GENERAL</t>
  </si>
  <si>
    <t>ASESOR DE INFRAESTRUCTURA, GERENCIA DE INFRAESTRUCTURA AEROPORTUARIA</t>
  </si>
  <si>
    <t>ASESOR DE INFORMÁTICA, UNIDAD DE INFORMÁTICA Y TECNOLOGÍA</t>
  </si>
  <si>
    <t>ASESOR JURÍDICO, DIRECCIÓN SUPERIROR</t>
  </si>
  <si>
    <t>ASESOR JURÍDICO, UNIDAD DE RELACIONES INTERNACIONALES</t>
  </si>
  <si>
    <t>ASESOR JURÍDICO, GERENCIA DE ESTANDARES DE VUELO</t>
  </si>
  <si>
    <t>SUPERVISOR DE AUDITORÍA INTERNA, UNIDAD DE AUDITORÍA INTERNA</t>
  </si>
  <si>
    <t>TÍTULO DEL PUESTO</t>
  </si>
  <si>
    <t xml:space="preserve">CANTIDAD </t>
  </si>
  <si>
    <t>RENGLONES GRUPO CERO</t>
  </si>
  <si>
    <t>1113-0013-218-00-19-00-000-001-000-022-0101-11</t>
  </si>
  <si>
    <t>1113-0013-218-00-19-00-000-001-000-021-0101-11</t>
  </si>
  <si>
    <t>1113-0013-218-00-19-00-000-001-000-029-0101-11</t>
  </si>
  <si>
    <t>TOTAL RECURSOS HUMANOS</t>
  </si>
  <si>
    <t xml:space="preserve">FONDO PARA LA VIVIENDA - FOPAVI - </t>
  </si>
  <si>
    <t xml:space="preserve">DIRECCION  GENERAL DE AERONAUTICA CIVIL </t>
  </si>
  <si>
    <t xml:space="preserve">PROGRAMACIÓN DE RECURSO HUMANO </t>
  </si>
  <si>
    <t xml:space="preserve">EJERCICIO FISCAL 2017 </t>
  </si>
  <si>
    <t xml:space="preserve">TÍTULO DEL PUESTO </t>
  </si>
  <si>
    <t>ENCARGADO DE CALIDAD DEL GASTO (ESPECIALIZADO I)</t>
  </si>
  <si>
    <t>ENCARGADO DE TESORERIA</t>
  </si>
  <si>
    <t>ENCARGADO DE SERVICIO GENERALES,  VEHICULOS Y COMBUSTIBLE</t>
  </si>
  <si>
    <t>ENCARGADO DE ALMACEN</t>
  </si>
  <si>
    <t>ENCARGADO DE ARCHIVO GENERAL</t>
  </si>
  <si>
    <t>ASESORIA TECNICA</t>
  </si>
  <si>
    <t>ASESORIA FINANCIERA</t>
  </si>
  <si>
    <t>ASESORIA JURIDICA</t>
  </si>
  <si>
    <t>SECRETARIA DE ACTA DE JUNTA DIRECTIVA</t>
  </si>
  <si>
    <t>ASISTENTE DE AUDITORIA</t>
  </si>
  <si>
    <t>ASISTENTE EJECUTIVA</t>
  </si>
  <si>
    <t>ASISTENTE SECRETARIAL</t>
  </si>
  <si>
    <t>PLANIFICADOR</t>
  </si>
  <si>
    <t>GESTOR DE DOCUMENTACION</t>
  </si>
  <si>
    <t>ASISTENTE DE FORTALECIMIENTO INSTITUCIONAL</t>
  </si>
  <si>
    <t>ASISTENTE DE INFORMATICA</t>
  </si>
  <si>
    <t>PROGRAMADOR</t>
  </si>
  <si>
    <t>ASESOR UNIDAD LIBRE ACCESO A LA INFORMACIÓN</t>
  </si>
  <si>
    <t>ASESOR RELACIONES PUBLICA</t>
  </si>
  <si>
    <t xml:space="preserve">ASISTENTE DE SUB-DIRECCIÒN OPERATIVA </t>
  </si>
  <si>
    <t>ASISTENTE DE SUB-DIRECCIÒN ADMINISTRATIVA</t>
  </si>
  <si>
    <t>ASISTENTE DE COORDINACION JURIDICA</t>
  </si>
  <si>
    <t>SUBCOORDINADOR JURIDICO</t>
  </si>
  <si>
    <t>ASISTENTE JURÍDICO</t>
  </si>
  <si>
    <t>ASISTENTE DE COORDINACION SOCIAL</t>
  </si>
  <si>
    <t>RECEPCIONES COORDINACION SOCIAL</t>
  </si>
  <si>
    <t>SUBCOORDINADOR COORDINACION SOCIAL</t>
  </si>
  <si>
    <t>ATENCION AL BENEFICIARIO</t>
  </si>
  <si>
    <t>ASISTENTE DE ESTUDIOS SOCIOECONOMICOS</t>
  </si>
  <si>
    <t>DIGITADORES</t>
  </si>
  <si>
    <t>ASISTENTE DE ARCHIVO</t>
  </si>
  <si>
    <t>ASISTENTE DE COORDINACION TECNICA</t>
  </si>
  <si>
    <t>ASISTENTE DE VENTANILLA UNICA</t>
  </si>
  <si>
    <t>SUBCOORDINADOR AREA DE ASISTENCIA TECNICA</t>
  </si>
  <si>
    <t>MONITORES INTERNOS</t>
  </si>
  <si>
    <t>MONITORES EXTERNOS</t>
  </si>
  <si>
    <t xml:space="preserve">PROMOTOR SOCIAL </t>
  </si>
  <si>
    <t>SECRETARIA DE CONTABILIDAD</t>
  </si>
  <si>
    <t>ASISTENTE DE CONTABILIDAD</t>
  </si>
  <si>
    <t>SECRETARIA UNIDAD ADMINISTRATIVA</t>
  </si>
  <si>
    <t>ASISTENTE DE UNIDAD ADMINISTRATIVA</t>
  </si>
  <si>
    <t>RECEPCION GENERAL</t>
  </si>
  <si>
    <t>APOYO LOGISTICO A TRANSPORTES</t>
  </si>
  <si>
    <t>MANTENIMIENTO</t>
  </si>
  <si>
    <t>ASISTENTE UNIDAD DE LIQUIDACIONES</t>
  </si>
  <si>
    <t>ASISTENTE DE ELABORACIÓN ORDENES DE PAGO</t>
  </si>
  <si>
    <t>REVISOR DE ORDENES GRUPALES E INDIVIDUALES</t>
  </si>
  <si>
    <t>ASISTENTE DE CONTROL DE ARCHIVO DE EXPEDIENTES</t>
  </si>
  <si>
    <t xml:space="preserve">ASISTENTE DE UNIDAD DE ANALISIS </t>
  </si>
  <si>
    <t>TOTAL SUELDO BASE</t>
  </si>
  <si>
    <t>COORDINADOR EJECUTIVO</t>
  </si>
  <si>
    <t>20-00-000-001</t>
  </si>
  <si>
    <t>COORDINADOR DE AUDITORIA INTERNA</t>
  </si>
  <si>
    <t>COORDINADOR DE OPERACIONES</t>
  </si>
  <si>
    <t>COORDINADORA FINANCIERA</t>
  </si>
  <si>
    <t>COORDINADORA DE RECURSOS HUMANOS</t>
  </si>
  <si>
    <t>ENCARGADO DE MÓDULO DE PRESUPUESTO</t>
  </si>
  <si>
    <t>ENCARGADO DE MÓDULO DE INVENTARIOS</t>
  </si>
  <si>
    <t>ENCARGADO DE MÓDULO DE CONTABILIDAD</t>
  </si>
  <si>
    <t>ENCARGADO DE MÓDULO DE TESORERIA</t>
  </si>
  <si>
    <t>ASESOR ADMINISTRATIVO</t>
  </si>
  <si>
    <t>ASESOR DE AUDITORÍA INTERNA</t>
  </si>
  <si>
    <t>ASESOR FINANCIERO</t>
  </si>
  <si>
    <t>ASESOR DE SUPERVISIÓN</t>
  </si>
  <si>
    <t>ASESOR EJECUTIVO</t>
  </si>
  <si>
    <t>ASESOR EN FORMULACIÓN Y EVALUACIÓN DE PROYECTOS</t>
  </si>
  <si>
    <t>ASESOR EN GESTION DE PROYECTOS</t>
  </si>
  <si>
    <t>ASESOR EN LÓGISTICA Y OPERACIONES</t>
  </si>
  <si>
    <t>ASESOR EN PLANIFICACION PRESUPUESTARIA</t>
  </si>
  <si>
    <t>ASESOR EN PROYECTOS</t>
  </si>
  <si>
    <t>ASESOR EN SUPERVISIÓN DE PROYECTOS</t>
  </si>
  <si>
    <t>ASESOR EN RECEPCION Y LIQUIDACIÓN</t>
  </si>
  <si>
    <t>ASESORA EN INVESTIGACION SOCIAL</t>
  </si>
  <si>
    <t>ENCARGADO DE ALMACÉN Y SUMINISTROS</t>
  </si>
  <si>
    <t>PROCURADOR JURÍDICO</t>
  </si>
  <si>
    <t xml:space="preserve">TÉCNICO ADMINISTRATIVO </t>
  </si>
  <si>
    <t xml:space="preserve">TÉCNICO CONTABLE  </t>
  </si>
  <si>
    <t>TÉCNICO DE PRESUPUESTO</t>
  </si>
  <si>
    <t>TÉCNICO DE TESORERÍA</t>
  </si>
  <si>
    <t>TÉCNICO DE RECURSOS HUMANOS</t>
  </si>
  <si>
    <t>TÉCNICO EN RECURSOS HUMANOS</t>
  </si>
  <si>
    <t>TÉCNICO EN GESTIÓN DE PROYECTOS</t>
  </si>
  <si>
    <t>TÉCNICO EN PLANIFICACIÓN</t>
  </si>
  <si>
    <t>TÉCNICO EN PROMOCION SOCIAL</t>
  </si>
  <si>
    <t>TÉCNICO EN RECEPCIÓN Y LIQUIDACIÓN DE PROYECTOS</t>
  </si>
  <si>
    <t>TÉCNICO EN SUPERVISIÓN DE PROYECTOS</t>
  </si>
  <si>
    <t>TÉCNICO EN FORMULACION DE PROYECTOS</t>
  </si>
  <si>
    <t>TÉCNICO INFORMATICO</t>
  </si>
  <si>
    <t>TÉCNICO JURÍDICO</t>
  </si>
  <si>
    <t xml:space="preserve">TÉCNICO JURÍDICO </t>
  </si>
  <si>
    <t>TÉCNICO OPERATIVO</t>
  </si>
  <si>
    <t>413 Y 415 INDEMNIZACIONES AL PERSONAL Y VACACIONES PAGADAS</t>
  </si>
  <si>
    <t xml:space="preserve">FONDO SOCIAL DE SOLIDARIDAD  - FSS - </t>
  </si>
  <si>
    <t>PUESTO DEL EMPLEADO</t>
  </si>
  <si>
    <t>16-00-000-001</t>
  </si>
  <si>
    <t>SUBDIRECTOR EJECUTIVO I</t>
  </si>
  <si>
    <t>SERVICIOS TECNICOS EN COMUNICACION</t>
  </si>
  <si>
    <t>SERVICIOS TECNICOS EN ELECTRÓNICA Y EQUIPOS  CONVENCIONALES</t>
  </si>
  <si>
    <t>SERVICIOS TÉCNICOS EN ELECTRÓNICA Y EQUIPOS  CONVENCIONALES</t>
  </si>
  <si>
    <t xml:space="preserve">SERVICIOS TECNICOS EN INFORMACION </t>
  </si>
  <si>
    <t xml:space="preserve">SERVICIOS TÉCNICOS EN INFORMACION </t>
  </si>
  <si>
    <t>SERVICIOS PROFESIONALES EN ASESORÍA JURÍDICA</t>
  </si>
  <si>
    <t>SERVICIOS PROFESIONALES DE APOYO TECNICO</t>
  </si>
  <si>
    <t>SERVICIOS TECNICOS EN MANTENIMIENTO DE INFRAESTRUCTURA.</t>
  </si>
  <si>
    <t>SERVICIOS TECNICOS EN ELECTRÓNICA  DE ESTACIONES HIDROMETEOROLOGICAS</t>
  </si>
  <si>
    <t xml:space="preserve">SERVICIOS TÉCNICOS EN ELECTRONICA </t>
  </si>
  <si>
    <t>SERVICIOS TECNICOS EN INFORMACION  Y LOGISTICA</t>
  </si>
  <si>
    <t>SERVICIOS TECNICOS COORDINACIÓN DE LA UNIDAD DE PLANIFICACIÓN</t>
  </si>
  <si>
    <t>SERVICIOS TECNICOS EN CONTABILIDAD</t>
  </si>
  <si>
    <t>SERVICIOS TECNICOS  FINANCIEROS</t>
  </si>
  <si>
    <t>SERVICIOS TECNICOS EN INVENTARIO</t>
  </si>
  <si>
    <t>SERVICIOS TECNICOS FINANCIEROS</t>
  </si>
  <si>
    <t>SERVICIOS TECNICOS EN PRESUPUESTO</t>
  </si>
  <si>
    <t>SERVICIOS TECNICOS EN NOMINAS</t>
  </si>
  <si>
    <t>SERVICIOS TECNICOS EN ADQUISICIONES</t>
  </si>
  <si>
    <t>SERVICIOS PROFESIONALES EN ELECTRONICA E INFORMATICA</t>
  </si>
  <si>
    <t>SERVICIOS PROFESIONALES EN TELECOMUNICACIONES</t>
  </si>
  <si>
    <t>SERVICIOS PROFESIONALES EN 
DESARROLLO  DE SISTEMAS</t>
  </si>
  <si>
    <t>SERVICIOS TECNICOS EN INFORMATICA Y TELECOMUNICACIONES</t>
  </si>
  <si>
    <t>SERVICIOS TECNICOS EN ADMINISTRACION DE REDES INFORMATICAS</t>
  </si>
  <si>
    <t>TRABAJADOR ESPECIALIZADO II-METEOROLOGIA</t>
  </si>
  <si>
    <t>16-00-000-002</t>
  </si>
  <si>
    <t xml:space="preserve"> SERVICIOS TECNICOS EN OBSERVACION METEOROLOGICA AEROPUERTO LA AURORA  </t>
  </si>
  <si>
    <t xml:space="preserve"> SERVICIOS TECNICOS EN OBSERVACION METEOROLOGICA </t>
  </si>
  <si>
    <t xml:space="preserve"> SERVICIOS TECNICOS EN OBSERVACION METEOROLOGICA AEROPUERTO LA AURORA   </t>
  </si>
  <si>
    <t>SERVICIOS PROFESIONALES EN SUPERVISION DE LA RED CLIMATICA Y METEOROLOGICA</t>
  </si>
  <si>
    <t xml:space="preserve">SERVICIOS TECNICOS EN CLIMATOLOGIA </t>
  </si>
  <si>
    <t>SERVICIOS TECNICOS EN CLIMATOLOGIA</t>
  </si>
  <si>
    <t>SERVICIOS TECNICOS EN CLIMATOLOGIA II</t>
  </si>
  <si>
    <t>SERVICIOS TECNICOS EN ACTIVIDAD METEOROLOGICA</t>
  </si>
  <si>
    <t>SERVICIOS TÉCNICOS EN PRONOSTICOS METEOROLOGICOS</t>
  </si>
  <si>
    <t xml:space="preserve">SERVICIOS TECNICOS EN COMPUTACION </t>
  </si>
  <si>
    <t xml:space="preserve">SERVICIOS TÉCNICOS EN METEOROLOGIA </t>
  </si>
  <si>
    <t>SERVICIOS TECNICOS EN PRONOSTICOS METEOROLOGICOS</t>
  </si>
  <si>
    <t>SERVICIOS PROFESIONALES EN AGROMETEOROLOGIA</t>
  </si>
  <si>
    <t>SERVICIOS PROFESIONALES EN SUPERVISION DE LA RED HIDROLOGICA AUTOMATICA Y CONVENCIONAL</t>
  </si>
  <si>
    <t xml:space="preserve">SERVICIOS TECNICOS EN OBSERVACION METEOROLOGICA RED SINOPTICA NACIONAL </t>
  </si>
  <si>
    <t>SERVICIOS TECNICOS EN GEOFISICA Y SISMOLOGIA</t>
  </si>
  <si>
    <t>16-00-000-003</t>
  </si>
  <si>
    <t>SERVICIOS TECNICOS EN GEOFISICA</t>
  </si>
  <si>
    <t>SERVICIOS TECNICOS EN GEOLOGIA</t>
  </si>
  <si>
    <t xml:space="preserve">SERVICIOS TECNICOS EN GEOFISICA </t>
  </si>
  <si>
    <t>SERVICIOS PROFESIONALES EN GEOFISICA</t>
  </si>
  <si>
    <t>SERVICIOS TECNICOS EN GEOFISCA</t>
  </si>
  <si>
    <t>SERVICIOS TECNICOS EN GESTION INFORMATICA HIDROLOGICA</t>
  </si>
  <si>
    <t>16-00-000-004</t>
  </si>
  <si>
    <t>SERVICIOS PROFESIONALES EN HIDROGEOLOGIA</t>
  </si>
  <si>
    <t>SERVICIOS PROFESIONALES EN HIDROQUIMICA</t>
  </si>
  <si>
    <t>SERVICIOS TECNICOS EN  HIDROQUIMICA</t>
  </si>
  <si>
    <t xml:space="preserve">SERVICIOS TECNICOS  EN HIDROLOGIA </t>
  </si>
  <si>
    <t>SERVICIOS PROFESIONALES EN HIDROLOGIA</t>
  </si>
  <si>
    <t xml:space="preserve">SERVICIOS TECNICOS SUPERIORES EN HIDROQUIMICA </t>
  </si>
  <si>
    <t>SERVICIOS TECNICOS EN AFOROS</t>
  </si>
  <si>
    <t>SERVICIOS TECNICOS EN CALIDAD DEL AIRE</t>
  </si>
  <si>
    <t>SERVICIOS TECNICOS EN ESTADISTICA HIDROLOGICA</t>
  </si>
  <si>
    <t>SERVICIOS TECNICOS EN SUPERVISION DE LA RED HIDROLOGICA NACIONAL</t>
  </si>
  <si>
    <t xml:space="preserve">SERVICIOS TECNICOS EN HIDROLOGIA </t>
  </si>
  <si>
    <t xml:space="preserve">INSTITUTO NACIONAL DE SISMOLOGÍA, VULCANOLOGÍA, METEOROLOGÍA E HIDROLOGÍA - INSIVUMEH - </t>
  </si>
  <si>
    <t>JEFE DE SERVICIOS CLIMATOLÓGICOS</t>
  </si>
  <si>
    <t>JEFE DE SERVICIOS SISMOLÓGICOS</t>
  </si>
  <si>
    <t>JEFE DE SERVICIOS HIDROLÓGICOS</t>
  </si>
  <si>
    <t>ENCARGADA DE BODEGA</t>
  </si>
  <si>
    <t>COORDINADOR DEL PROYECTO BCIE-1656</t>
  </si>
  <si>
    <t>OPERADOR DE EQUIPO DE ESTADISTICA</t>
  </si>
  <si>
    <t>PEÓN VIGILANTE I</t>
  </si>
  <si>
    <t>PEÓN VIGILANTE II</t>
  </si>
  <si>
    <t>TRABAJADORA VIVANDERA</t>
  </si>
  <si>
    <t>PEÓN VIGILANTE 1</t>
  </si>
  <si>
    <t>ALBAÑIL I</t>
  </si>
  <si>
    <t>MENSAJERO II</t>
  </si>
  <si>
    <t>ALBAÑIL 1</t>
  </si>
  <si>
    <t>OPERADOR DE EQUIPO DE ESTADÍSTICA</t>
  </si>
  <si>
    <t>PEÒN VIGILANTE I</t>
  </si>
  <si>
    <t>18-00-000-001</t>
  </si>
  <si>
    <t>18-00-000-002</t>
  </si>
  <si>
    <t>SERVICIOS TÉCNICOS DIRECCIÓN GENERAL</t>
  </si>
  <si>
    <t>SERVICIOS PROFESIONALES EN ASESORÍA  MEJORAMIENTO DE AMBIENTES</t>
  </si>
  <si>
    <t>SERVICIOS PROFESIONALES EN ASESORÍA  AUDITORÍA INTERNA</t>
  </si>
  <si>
    <t>SERVICIOS PROFESIONALES EN ASESORÍA  RECURSOS HUMANOS</t>
  </si>
  <si>
    <t>SERVICIOS TÉCNICOS EN ASESORÍA RELACIONES PÚBLICAS</t>
  </si>
  <si>
    <t>SERVICIOS PROFESIONALES EN APOYO  ACTIVIDADES JURÍDICAS A REALIZARSE CON CAMINOS</t>
  </si>
  <si>
    <t>SERVICIOS TÉCNICOS EN ASESORÍA  DE ASUNTOS INTERNOS</t>
  </si>
  <si>
    <t>SERVICIOS TÉCNICOS EN ASESORÍA FINANCIERO</t>
  </si>
  <si>
    <t>SERVICIOS TÉCNICOS EN ASESORÍA ADMINISTRATIVA</t>
  </si>
  <si>
    <t>SERVICIOS TÉCNICOS EN ASESORÍA EN TRANSMISIONES</t>
  </si>
  <si>
    <t>SERVICIOS TÉCNICOS EN ASESORÍA EN INFORMÁTICA</t>
  </si>
  <si>
    <t>SERVICIOS TÉCNICOS EN RECURSOS HUMANOS</t>
  </si>
  <si>
    <t>SERVICIOS TÉCNICOS EN ASUNTOS INTERNOS</t>
  </si>
  <si>
    <t>SERVICIOS TÉCNICOS EN ASESORÍA PLANIFICACIÓN Y ESTADÍSTICA</t>
  </si>
  <si>
    <t>SERVICIOS TÉCNICOS EN ACADEMIA</t>
  </si>
  <si>
    <t>SERVICIOS TÉCNICOS FINANCIEROS</t>
  </si>
  <si>
    <t>SERVICIOS TÉCNICOS EN PRESUPUESTO DIRECCIÓN GENERAL</t>
  </si>
  <si>
    <t>SERVICIOS TÉCNICOS EN ADQUISICIONES DIRECCIÓN GENERAL</t>
  </si>
  <si>
    <t>SERVICIOS PROFESIONALES EN ASESORÍA EN SALUD</t>
  </si>
  <si>
    <t>SERVICIOS TÉCNICOS ADMINISTRATIVOS</t>
  </si>
  <si>
    <t>SERVICIOS TÉCNICOS EN LOGÍSTICA</t>
  </si>
  <si>
    <t>SERVICIOS TÉCNICOS EN AUDITORÍA INTERNA</t>
  </si>
  <si>
    <t>SERVICIOS TÉCNICOS EN DOCUMENTACIÓN RELACIONES PÚBLICAS</t>
  </si>
  <si>
    <t>SERVICIOS TÉCNICOS EN MEJORAMIENTO DE AMBIENTES</t>
  </si>
  <si>
    <t>SERVICIOS TÉCNICOS EN DOCUMENTACIÓN EN FINANCIERO</t>
  </si>
  <si>
    <t>SERVICIOS TÉCNICOS EN DISTRIBUCIÓN DE DOCUMENTACIÓN</t>
  </si>
  <si>
    <t>SERVICIOS TÉCNICOS EN DIRECCIÓN GENERAL</t>
  </si>
  <si>
    <t>SERVICIOS TÉCNICOS EN DOCUMENTACIÓN EN LA SUBDIRECCIÓN ADMINISTRATIVA FINANCIERA</t>
  </si>
  <si>
    <t xml:space="preserve">SERVICIOS TÉCNICOS EN LIMPIEZA E HIGIENE EN LA DIRECCIÓN GENERAL </t>
  </si>
  <si>
    <t>SERVICIOS TÉCNICOS EN FINANCIERO</t>
  </si>
  <si>
    <t>SERVICIOS TÉCNICOS EN EDUCACIÓN Y SEGURIDAD VIAL</t>
  </si>
  <si>
    <t>SERVICIOS TÉCNICOS EN ASESORÍA PLANIFICACIÓN DIRECCIÓN GENERAL</t>
  </si>
  <si>
    <t>SERVICIOS TÉCNICOS SEGURIDAD VIAL</t>
  </si>
  <si>
    <t>SERVICIOS TÉCNICOS EN ASESORÍA ACADÉMICA</t>
  </si>
  <si>
    <t xml:space="preserve">SERVICIOS TÉCNICOS DIRECCIÓN GENERAL </t>
  </si>
  <si>
    <t>SERVICIOS TÉCNICOS DE SUPERVISIÓN Y PLANIFICACIÓN DIRECCIÓN GENERAL</t>
  </si>
  <si>
    <t>SERVICIOS TÉCNICOS DE SUPERVISIÓN DIRECCIÓN GENERAL</t>
  </si>
  <si>
    <t>SERVICIOS TÉCNICOS PARA LA SEGURIDAD VIAL DIRECCIÓN GENERAL</t>
  </si>
  <si>
    <t>SERVICIOS TÉCNICOS PARA LA PROTECCIÓN VIAL DIRECCIÓN GENERAL</t>
  </si>
  <si>
    <t xml:space="preserve">SERVICIOS TÉCNICOS EN PROTECCIÓN Y SEGURIDAD VIAL </t>
  </si>
  <si>
    <t>DIRECCIÓN GENERAL DE PROTECCIÓN Y SEGURIDAD VIAL - PROVIAL -</t>
  </si>
  <si>
    <t>22-00-000-001-0101-31</t>
  </si>
  <si>
    <t>ASESORÍA EN TELECOMUNICACIONES</t>
  </si>
  <si>
    <t>ASESORÍA EJECUTIVA ADMINISTRATIVA Y FINANCIERA</t>
  </si>
  <si>
    <t>ASESORÍA EJECUTIVA EN MATERIA JURÍDICA</t>
  </si>
  <si>
    <t>ASESOR EJECUTIVO II</t>
  </si>
  <si>
    <t>ASESOR EJECUTIVO I</t>
  </si>
  <si>
    <t xml:space="preserve">ASESOR EJECUTIVO </t>
  </si>
  <si>
    <t>ASESOR TÉCNICO II</t>
  </si>
  <si>
    <t>ASESOR TÉCNICO I</t>
  </si>
  <si>
    <t xml:space="preserve">ASESOR TÉCNICO </t>
  </si>
  <si>
    <t>SERVICIOS TÉCNICOS DE APOYO LOGÍSTICO GAF</t>
  </si>
  <si>
    <t>SERVICIOS DE APOYO LOGÍSTICO GAF</t>
  </si>
  <si>
    <t>SERVICIOS TÉCNICOS PARA CONTROL Y ARCHIVO DE TÍTULOS DE USUFRUCTO</t>
  </si>
  <si>
    <t>ASESORÍA DE RECURSOS HUMANOS</t>
  </si>
  <si>
    <t>SERVICIOS TÉCNICOS DE ASESORÍA JURÍDICA</t>
  </si>
  <si>
    <t>ASESORÍA EN EL ESPECTRO RADIOELÉCTRICO</t>
  </si>
  <si>
    <t>ASESOR EJECUTIVO EN FRECUENCIAS</t>
  </si>
  <si>
    <t>ASESOR TÉCNICO EN FRECUENCIAS III</t>
  </si>
  <si>
    <t>ASESOR TÉCNICO EN FRECUENCIAS II</t>
  </si>
  <si>
    <t>ASESOR TÉCNICO EN FRECUENCIAS I</t>
  </si>
  <si>
    <t>AUXILIAR DE PROFESIONAL</t>
  </si>
  <si>
    <t>ASESOR EJECUTIVO EN TELEFONÍA</t>
  </si>
  <si>
    <t>ASESOR TÉCNICO EN TELEFONÍA III</t>
  </si>
  <si>
    <t>ASESOR TÉCNICO EN TELEFONÍA II</t>
  </si>
  <si>
    <t>ASESOR TÉCNICO EN TELEFONÍA I</t>
  </si>
  <si>
    <t>ASESOR TÉCNICO ADMINISTRATIVO</t>
  </si>
  <si>
    <t>15-00-000-003</t>
  </si>
  <si>
    <t>15-00-000-002</t>
  </si>
  <si>
    <t>15-00-000-001</t>
  </si>
  <si>
    <t>PAGO DE PRESTACIONES LABORALES</t>
  </si>
  <si>
    <t xml:space="preserve">DIRECCIÓN GENERAL DE RADIODIFUSIÓN Y TELEVISIÓN NACIONAL - TGW - </t>
  </si>
  <si>
    <t>TRABAJADOR ESPECIALIZADO III</t>
  </si>
  <si>
    <t>TRABAJADOR ESPECIALIZADO III  6 HRS.</t>
  </si>
  <si>
    <t>JEFE TÉCNICO PROFESIONAL II</t>
  </si>
  <si>
    <t>JEFE DE SERVICIOS GENERALES</t>
  </si>
  <si>
    <t>COORDINADOR DE PRENSA</t>
  </si>
  <si>
    <t>COORDINADOR DE PRODUCCIÓN</t>
  </si>
  <si>
    <t>SUBDIRECTOR EJECUTIVO IV (PROYECTO TAIWAN)</t>
  </si>
  <si>
    <t>DIRECTOR EJECUTIVO I (AUDITOR)</t>
  </si>
  <si>
    <t>SUBDIRECTOR EJECUTIVO III (ADMON. FINAN.)</t>
  </si>
  <si>
    <t>SERVICIOS TÉCNICOS EN ANÁLISIS  CONTABLE</t>
  </si>
  <si>
    <t>SERVICIOS PROFESIONALES EN ASESORÍA  LEGAL DE  MONITOREO</t>
  </si>
  <si>
    <t>SERVICIOS TÉCNICOS  EN COMPRAS</t>
  </si>
  <si>
    <t>SERVICIOS PROFESIONALES EN ASESORÍA DE AUDITORIA INTERNA</t>
  </si>
  <si>
    <t>SERVICIOS TÉCNICOS ADMINISTRATIVOS EN RADIODIFUSIÓN</t>
  </si>
  <si>
    <t>SERVICIOS TÉCNICO EN MATERIA DE GESTIÓN DE  RECURSOS HUMANOS</t>
  </si>
  <si>
    <t>SERVICIOS TÉCNICOS EN ADMINISTRACIÓN</t>
  </si>
  <si>
    <t xml:space="preserve">SERVICIOS TÉCNICOS EN   RRHH </t>
  </si>
  <si>
    <t>SERVICIOS PROFESIONALES  EN ASESORÍA DE PLANIFICACIÓN</t>
  </si>
  <si>
    <t xml:space="preserve">SERVICIOS TÉCNICOS EN INFORMÁTICA </t>
  </si>
  <si>
    <t>SERVICIOS TÉCNICOS ADMINISTRATIVOS Y FINANCIERO</t>
  </si>
  <si>
    <t xml:space="preserve">SERVICIOS TÉCNICOS EN PRODUCCIÓN DE PROGRAMAS REMOTOS  </t>
  </si>
  <si>
    <t xml:space="preserve">SERVICIOS TÉCNICOS EN LOCUCIÓN   </t>
  </si>
  <si>
    <t>SERVICIOS TÉCNICOS EN    PAUTA Y PROGRAMACIÓN MUSICAL</t>
  </si>
  <si>
    <t xml:space="preserve">SERVICIOS TÉCNICOS EN PRODUCCIÓN DE PROGRAMAS DEPORTIVOS    </t>
  </si>
  <si>
    <t>SERVICIOS TÉCNICOS EN LOCUCIÓN   CHAPINLANDIA</t>
  </si>
  <si>
    <t xml:space="preserve">SERVICIOS TÉCNICOS EN MANTENIMIENTO Y MANEJO VEHICULAR    </t>
  </si>
  <si>
    <t xml:space="preserve">SERVICIOS TÉCNICOS EN  PRODUCCIÓN RADIOFÓNICA      </t>
  </si>
  <si>
    <t xml:space="preserve">SERVICIOS TÉCNICOS DE PERIODISMO     </t>
  </si>
  <si>
    <t xml:space="preserve">SERVICIOS TÉCNICOS EN  RELACIONES PUBLICAS      </t>
  </si>
  <si>
    <t>SERVICIOS TÉCNICOS EN PRODUCCIÓN RADIAL</t>
  </si>
  <si>
    <t xml:space="preserve">SERVICIOS TÉCNICOS EN CONTROL REMOTO    </t>
  </si>
  <si>
    <t>TÉCNICO EN ADMINISTRACIÓN DEPARTAMENTAL</t>
  </si>
  <si>
    <t>TÉCNICO EN ADMINISTRACIÓN DE SERVICIOS GENERALES</t>
  </si>
  <si>
    <t>TÉCNICO EN RADIODIFUSIÓN</t>
  </si>
  <si>
    <t>ENC.II MAQ. EQUIPO</t>
  </si>
  <si>
    <t>AUX.OP. MAQ. EQUIPO</t>
  </si>
  <si>
    <t>TRABAJADOR ESPECIALIZADO III 4 HRS.</t>
  </si>
  <si>
    <t>TRABAJADOR OPERATIVO  IV</t>
  </si>
  <si>
    <t xml:space="preserve">OFICINISTA III </t>
  </si>
  <si>
    <t>TRABAJADOR OPERATIVO  III</t>
  </si>
  <si>
    <t>AUX.OP.MAQ. EQUIPO</t>
  </si>
  <si>
    <t>TÉCNICO I 5 HRS.</t>
  </si>
  <si>
    <t>TRABAJADOR ESPECIALIZADO III 5 HRS.</t>
  </si>
  <si>
    <t xml:space="preserve">TÉCNICO II </t>
  </si>
  <si>
    <t>ENC.II MAQ.EQUIPO</t>
  </si>
  <si>
    <t>SERVICIOS PROFESIONALES COMO ASESOR DE PROYECTOS E INFRAESTRUCTURA HABITACIONAL</t>
  </si>
  <si>
    <t>SERVICIOS TÉCNICOS EN MITIGACIÓN DE RIESGOS EN EL DEPARTAMENTO DE PROYECTOS E INFRAESTRUCTURA HABITACIONAL</t>
  </si>
  <si>
    <t>SERVICIOS TÉCNICOS EN SEGUIMIENTO EN EL DEPARTAMENTO DE PROYECTOS E INFRAESTRUCTURA HABITACIONAL</t>
  </si>
  <si>
    <t>SERVICIOS PROFESIONALES COMO ASESORA DEL DEPARTAMENTO DE ÁREA SOCIAL</t>
  </si>
  <si>
    <t>SERVICIOS TÉCNICOS EN RECURSOS HUMANOS EN EL DEPARTAMENTO ADMINISTRATIVO</t>
  </si>
  <si>
    <t>SERVICIOS TÉCNICOS EN COMPRAS EN EL DEPARTAMENTO ADMINISTRATIVO</t>
  </si>
  <si>
    <t>SERVICIOS TÉCNICOS EN TRANSPORTE DEL DEPARTAMENTO ADMINISTRATIVO</t>
  </si>
  <si>
    <t>SERVICIOS PROFESIONALES COMO ASESOR ADMINISTRATIVO Y FINANCIERO DIRECTO DE LA COORDINACIÓN GENERAL</t>
  </si>
  <si>
    <t>SERVICIOS TÉCNICOS DE ASISTENCIA A LA SUB COORDINACIÓN GENERAL</t>
  </si>
  <si>
    <t>SERVICIOS PROFESIONALES COMO ASESOR DE AUDITORÍA INTERNA</t>
  </si>
  <si>
    <t>SERVICIOS TÉCNICOS DE AUDITORÍA INTERNA</t>
  </si>
  <si>
    <t>SERVICIOS TÉCNICOS DE TESORERÍA</t>
  </si>
  <si>
    <t>SERVICIOS TÉCNICOS EN PRESUPUESTO</t>
  </si>
  <si>
    <t>SERVICIOS TÉCNICOS EN PLANIFICACIÓN Y PROGRAMACIÓN</t>
  </si>
  <si>
    <t>SERVICIOS PROFESIONALES DE CALIDAD DE GASTO</t>
  </si>
  <si>
    <t>SERVICIOS PROFESIONALES COMO ASESOR DEL DEPARTAMENTO JURÍDICO</t>
  </si>
  <si>
    <t>SERVICIOS PROFESIONALES COMO ASESORA EN EL DEPARTAMENTO DE  CARTERA</t>
  </si>
  <si>
    <t>JEFE DE ARCHIVO</t>
  </si>
  <si>
    <t>ENCARGADO DEL FONDO ROTATIVO</t>
  </si>
  <si>
    <t xml:space="preserve">DIRECTOR EJECUTIVO IV                       </t>
  </si>
  <si>
    <t xml:space="preserve">SERVICIOS TÉCNICOS COMO ASESOR DE INFORMATICA  </t>
  </si>
  <si>
    <t>SERVICIOS TECNICOS COMO ASESOR DE INFORMACIÓN PÚBLICA</t>
  </si>
  <si>
    <t>SERVICIOS TECNICOS O PROFESIONALES EN EL DEPARTAMENTO DE CONTABILIDAD</t>
  </si>
  <si>
    <t>SERVICIOS TECNICOS O PROFESIONALES EN EL DEPARTAMENTO ADMINISTRATIVO</t>
  </si>
  <si>
    <t>ENCARGADO FONDO ROTATIVO</t>
  </si>
  <si>
    <t>11</t>
  </si>
  <si>
    <t>12</t>
  </si>
  <si>
    <t>13</t>
  </si>
  <si>
    <t>14</t>
  </si>
  <si>
    <t>15</t>
  </si>
  <si>
    <t>21</t>
  </si>
  <si>
    <t>22</t>
  </si>
  <si>
    <t>26</t>
  </si>
  <si>
    <t>27</t>
  </si>
  <si>
    <t>29</t>
  </si>
  <si>
    <t>63</t>
  </si>
  <si>
    <t>71</t>
  </si>
  <si>
    <t>72</t>
  </si>
  <si>
    <t>73</t>
  </si>
  <si>
    <t>11130013-201-01-00-000-001</t>
  </si>
  <si>
    <t>11130013-201-01-00-000-002</t>
  </si>
  <si>
    <t>11130013-201-01-00-000-004</t>
  </si>
  <si>
    <t>11130013-201-01-00-000-003</t>
  </si>
  <si>
    <t>NOMBRE DE LA INSTITUCIÓN: UNIDAD PARA EL DESARROLLO DE VIVIENDA POPULAR - UDEVIPO -</t>
  </si>
  <si>
    <t xml:space="preserve">INFORMACIÓN RECURSO HUMANO </t>
  </si>
  <si>
    <t>SUB-TOTAL MENSUAL</t>
  </si>
  <si>
    <t>SUB-TOTAL ANUAL</t>
  </si>
  <si>
    <t>PROFESIONAL JEFE III</t>
  </si>
  <si>
    <t>PROFESIONAL III</t>
  </si>
  <si>
    <t>OFICINISTA IV</t>
  </si>
  <si>
    <t>PROFESIONAL JEFE I</t>
  </si>
  <si>
    <t>SECRETARIO EJECUTIVO MINISTERIAL II</t>
  </si>
  <si>
    <t>VICEMINISTROS</t>
  </si>
  <si>
    <t>MINISTRO DE COMUNICACIONES</t>
  </si>
  <si>
    <t>OFICIAL MAYOR</t>
  </si>
  <si>
    <t>TÉCNICO PROFESIONAL I</t>
  </si>
  <si>
    <t>ASISTENTE PROFESIONAL I</t>
  </si>
  <si>
    <t>SECRETARIO EJECUTIVO V</t>
  </si>
  <si>
    <t>SUPERVISOR DE AUDITORIA</t>
  </si>
  <si>
    <t>AUXILIAR DE NOMINA</t>
  </si>
  <si>
    <t>ENCARGADO DE PUESTOS Y SALARIOS</t>
  </si>
  <si>
    <t>ASISTENTE I</t>
  </si>
  <si>
    <t>ANALISTA RECEPTOR DE UDAF</t>
  </si>
  <si>
    <t>ASISTENTE II</t>
  </si>
  <si>
    <t>SECRETARIA DE LA LAI</t>
  </si>
  <si>
    <t>DIRECTORA GUARDERÍA</t>
  </si>
  <si>
    <t>ENCARGADO DEL GASTO PRESUPUESTO</t>
  </si>
  <si>
    <t>ENCARGADO DEL GASTO TESORERÍA</t>
  </si>
  <si>
    <t>ENCARGADO DEL GASTO CONTABILIDAD</t>
  </si>
  <si>
    <t>ENCARGADO DEL GASTO INVENTARIOS</t>
  </si>
  <si>
    <t>AUXILIAR DE ALMACÉN</t>
  </si>
  <si>
    <t>ENCARGADO DE BODEGA</t>
  </si>
  <si>
    <t>JEFE ADMINISTRATIVO</t>
  </si>
  <si>
    <t>DIRECTOR EJECUTIVO II</t>
  </si>
  <si>
    <t>JARDINERO I</t>
  </si>
  <si>
    <t>CONDUCTOR DE VEHÍCULOS LIVIANOS</t>
  </si>
  <si>
    <t>PINTOR</t>
  </si>
  <si>
    <t>MENSAJERO I</t>
  </si>
  <si>
    <t>CONDUCTOR DE VEHÍCULOS PESADOS</t>
  </si>
  <si>
    <t>ELECTRICISTA I</t>
  </si>
  <si>
    <t>SERVICIOS TÉCNICOS EN LA OFICINA DE REGISTRO Y TRAMITE PRESUPUESTAL</t>
  </si>
  <si>
    <t>SERVICIOS TÉCNICOS EN LA UNIDAD DE RECURSOS HUMANOS</t>
  </si>
  <si>
    <t xml:space="preserve">SERVICIOS TÉCNICO EN INFORMÁTICA DE LA DIRECCIÓN SUPERIOR </t>
  </si>
  <si>
    <t>SERVICIOS TÉCNICOS ADMINISTRATIVOS DE LA DIRECCIÓN SUPERIOR</t>
  </si>
  <si>
    <t>SERVICIOS TÉCNICOS EN SECRETARIA DE LA DIRECCIÓN SUPERIOR</t>
  </si>
  <si>
    <t>SERVICIOS TÉCNICOS EN AUDITORIA DE LA DIRECCIÓN SUPERIOR</t>
  </si>
  <si>
    <t>SERVICIOS TÉCNICOS EN LA SECRETARIA ADMINISTRATIVA</t>
  </si>
  <si>
    <t>SERVICIOS TÉCNICOS EN ASESORÍA JURÍDICA</t>
  </si>
  <si>
    <t>SERVICIOS TÉCNICOS EN EL DESPACHO VICEMINISTERIAL</t>
  </si>
  <si>
    <t>ASESOR TÉCNICO VICE DESPACHO</t>
  </si>
  <si>
    <t>SERVICIOS TÉCNICOS EN LA UNIDAD DE AUDITORIA INTERNA</t>
  </si>
  <si>
    <t>SERVICIOS TÉCNICOS EN LA UNIDAD DE RELACIONES PUBLICAS</t>
  </si>
  <si>
    <t>ASESOR ADMINISTRATIVO FINANCIERO</t>
  </si>
  <si>
    <t xml:space="preserve">ASESOR EN APOYO Y LOGÍSTICA EN EL DESPACHO VICEMINISTERIAL DE LA DIRECCIÓN SUPERIOR </t>
  </si>
  <si>
    <t>SERVICIOS PROFESIONALES EN SERVICIOS MÉDICOS EN LA DIRECCIÓN SUPERIOR</t>
  </si>
  <si>
    <t>ASESORA TÉCNICA EN LA UNIDAD DE CONCESIONES Y DESINCORPORACIONES</t>
  </si>
  <si>
    <t>ASESOR TÉCNICO EN LA UNIDAD DE CONCESIONES Y DESINCORPORACIONES</t>
  </si>
  <si>
    <t>ASESORA JURÍDICA DEL VICE DESPACHO MISTERIAL</t>
  </si>
  <si>
    <t>ASESORA JURÍDICA DE LA DIRECCIÓN SUPERIOR</t>
  </si>
  <si>
    <t xml:space="preserve">ASESOR FINANCIERO VICE DESPACHO </t>
  </si>
  <si>
    <t>ASESOR TÉCNICO DEL VICE DESPACHO MINISTERIAL</t>
  </si>
  <si>
    <t>ASESOR TÉCNICO DEL DESPACHO MINISTERIAL</t>
  </si>
  <si>
    <t>ASESOR VICE DESPACHO MINISTERIAL</t>
  </si>
  <si>
    <t>ASESOR JURÍDICO VICE DESPACHO MINISTERIAL</t>
  </si>
  <si>
    <t>ASESOR JURÍDICO DE LA DIRECCIÓN SUPERIOR</t>
  </si>
  <si>
    <t>ASESORA DE RELACIONES PÚBLICAS DE LA DIRECCIÓN SUPERIOR</t>
  </si>
  <si>
    <t>SERVICIOS TÉCNICOS EN MANTENIMIENTO DE LAS INSTALACIONES INTERNAS Y EXTERNAS</t>
  </si>
  <si>
    <t>SERVICIOS TÉCNICOS EN REPRODUCCIÓN DE DOCUMENTOS</t>
  </si>
  <si>
    <t>SERVICIOS TÉCNICOS EN CONDUCCIÓN DE VEHÍCULOS</t>
  </si>
  <si>
    <t>SERVICIOS TÉCNICOS ADMINISTRATIVOS EN SERVICIOS GENERALES</t>
  </si>
  <si>
    <t>SERVICIOS TÉCNICO EN INFORMÁTICA EN LA SECRETARIA ADMINISTRATIVA</t>
  </si>
  <si>
    <t>ASISTENTE DEL VICEMINISTRO</t>
  </si>
  <si>
    <t>SERVICIOS TÉCNICOS ADMINISTRATIVOS EN ASESORÍA JURÍDICA</t>
  </si>
  <si>
    <t>SERVICIOS TÉCNICOS EN LA UNIDAD DE ADMINISTRACIÓN FINANCIERA</t>
  </si>
  <si>
    <t>SERVICIOS TÉCNICOS EN LA UNIDAD SECTORIAL DE PLANIFICACIÓN</t>
  </si>
  <si>
    <t>SERVICIOS TÉCNICOS EN PLANIFICACIÓN Y PROGRAMACIÓN EN LA UNIDAD SECTORIAL DE PLANIFICACIÓN</t>
  </si>
  <si>
    <t>SERVICIOS TÉCNICOS EN COMPUTACIÓN EN LA UNIDAD DE ADMINISTRACIÓN FINANCIERA</t>
  </si>
  <si>
    <t xml:space="preserve"> SERVICIOS TÉCNICOS EN LA UNIDAD DE REGISTRO DE PRECALIFICADOS DE OBRAS </t>
  </si>
  <si>
    <t>UNIDAD DE CONTROL Y SUPERVISIÓN DE CABLE</t>
  </si>
  <si>
    <t>011</t>
  </si>
  <si>
    <t>012</t>
  </si>
  <si>
    <t>014</t>
  </si>
  <si>
    <t>015</t>
  </si>
  <si>
    <t>021</t>
  </si>
  <si>
    <t>027</t>
  </si>
  <si>
    <t>029</t>
  </si>
  <si>
    <t>208-021-1100</t>
  </si>
  <si>
    <t>208-011-2900</t>
  </si>
  <si>
    <t>208-011-1100</t>
  </si>
  <si>
    <t>208-029-2900</t>
  </si>
  <si>
    <t>PERSONAL SUPERNUMERARIO- CONTADOR Y CAJA CHICA</t>
  </si>
  <si>
    <t>PERSONAL PERMANENTE - ENCARGADO DE TESORERÍA</t>
  </si>
  <si>
    <t>PERSONAL PERMANENTE - ENCARGADO DE RECURSOS HUMANOS</t>
  </si>
  <si>
    <t>PERSONAL PERMANENTE - ENCARGADO DE PRESUPUESTO</t>
  </si>
  <si>
    <t>PERSONAL PERMANENTE - ENCARGADO DE INVENTARIOS</t>
  </si>
  <si>
    <t>PERSONAL PERMANENTE - ENCARGADO DE COMPRAS</t>
  </si>
  <si>
    <t>PERSONAL PERMANENTE - ENCARGADO DE ALMACÉN</t>
  </si>
  <si>
    <t>PERSONAL PERMANENTE - DIRECTOR FINANCIERO</t>
  </si>
  <si>
    <t>PERSONAL PERMANENTE - DIRECTOR EJECUTIVO</t>
  </si>
  <si>
    <t>PERSONAL PERMANENTE - DIRECTOR DE SUPERVISIÓN</t>
  </si>
  <si>
    <t>PERSONAL PERMANENTE - DIRECTOR DE REGISTRO</t>
  </si>
  <si>
    <t>PERSONAL PERMANENTE - DIRECTOR DE OPERACIONES</t>
  </si>
  <si>
    <t>PERSONAL PERMANENTE - DIRECTOR DE ASUNTOS JURÍDICOS</t>
  </si>
  <si>
    <t>PERSONAL PERMANENTE - DIRECTOR ADMINISTRATIVO</t>
  </si>
  <si>
    <t>OTRAS REMUNERACIONES DE PERSONAL TEMPORAL- SERVICIOS TÉCNICOS DE SECRETARIA</t>
  </si>
  <si>
    <t>OTRAS REMUNERACIONES DE PERSONAL TEMPORAL- SERVICIOS TÉCNICOS DE REGISTRO Y ARCHIVO</t>
  </si>
  <si>
    <t>OTRAS REMUNERACIONES DE PERSONAL TEMPORAL- SERVICIOS TÉCNICOS DE OPERACIONES</t>
  </si>
  <si>
    <t>OTRAS REMUNERACIONES DE PERSONAL TEMPORAL- SERVICIOS TÉCNICOS DE ENCARGADO DE INFORMÁTICA</t>
  </si>
  <si>
    <t>OTRAS REMUNERACIONES DE PERSONAL TEMPORAL- SERVICIOS TÉCNICOS ADMINISTRATIVO DE MENSAJERÍA</t>
  </si>
  <si>
    <t>OTRAS REMUNERACIONES DE PERSONAL TEMPORAL- SERVICIOS TÉCNICOS ADMINISTRATIVO DE MANTENIMIENTO DE VEHÍCULOS</t>
  </si>
  <si>
    <t>OTRAS REMUNERACIONES DE PERSONAL TEMPORAL- SERVICIOS TÉCNICOS ADMINISTRATIVO DE LIMPIEZA Y MANTENIMIENTO</t>
  </si>
  <si>
    <t>OTRAS REMUNERACIONES DE PERSONAL TEMPORAL - SERVICIOS TÉCNICOS DE SUPERVISIÓN</t>
  </si>
  <si>
    <t>OTRAS REMUNERACIONES DE PERSONAL TEMPORAL-  SERVICIOS TÉCNICOS ADMINISTRATIVO Y JURÍDICOS</t>
  </si>
  <si>
    <t>SERVICIOS PROFESIONALES EN AUDITORIA</t>
  </si>
  <si>
    <t>SERVICIOS PROFESIONALES  EN RADAR METOROLOGICO</t>
  </si>
  <si>
    <t>SERVICIOS TECNICOS  EN RADAR METOROLOGICO</t>
  </si>
  <si>
    <t>SERVICIOS TECNICOS SUPERIORES EN EQUIPO ELECTRONICO DE ESTACIONES AUTOMATICAS HIDROMETEREOLOGICAS</t>
  </si>
  <si>
    <t>OPERADOR DE OBSERVACION GEOHIDROMETEOROLÓGICO</t>
  </si>
  <si>
    <t xml:space="preserve">OPERADOR DE OBSERVACION GEOHIDROMETEOROLÓGICO </t>
  </si>
  <si>
    <t>ENCARGADA I  OPERADOR DE MAQUINARIA Y EQUIPO</t>
  </si>
  <si>
    <t>ENCARGADO II OPERADOR DE MAQUINARIA Y EQUIPO</t>
  </si>
  <si>
    <t>OPERADOR DE OBSERVACION GEOHIDROMETEOROLÓGICOGEOHIDROMETEOROLOGICA</t>
  </si>
  <si>
    <t>ENCARGADO  II OPERADOR DE MAQUINARIA Y EQUIPO</t>
  </si>
  <si>
    <t>total mensual</t>
  </si>
  <si>
    <t>DIETAS</t>
  </si>
  <si>
    <t>VIATICOS</t>
  </si>
  <si>
    <t>SERVICIOS PROFESIONALES COMO ASESORA EN RECUPERACIÓN DE CARTERA</t>
  </si>
  <si>
    <t>AUXILIAR DE SERVICIOS</t>
  </si>
  <si>
    <t>AUXILIAR MANTENIMIENTO I</t>
  </si>
  <si>
    <t>AUXILIAR OFICINISTA</t>
  </si>
  <si>
    <t>AUXILIAR UNIDAD DE ARCHIVO</t>
  </si>
  <si>
    <t>AUXILIARES ADMINISTRATIVOS</t>
  </si>
  <si>
    <t>ESPECIALISTA EN PLANIFICACIÓN</t>
  </si>
  <si>
    <t>ESPECIALISTA I</t>
  </si>
  <si>
    <t>ESPECIALISTA II</t>
  </si>
  <si>
    <t>SECRETARIA EJECUTIVA</t>
  </si>
  <si>
    <t>SERVICIOS TÉCNICOS ASISTENTE I</t>
  </si>
  <si>
    <t>SERVICIOS TÉCNICOS ASISTENTE II</t>
  </si>
  <si>
    <t>SERVICIOS TÉCNICOS DE APOYO I</t>
  </si>
  <si>
    <t>SERVICIOS TÉCNICOS DE APOYO II</t>
  </si>
  <si>
    <t>SERVICIOS TÉCNICOS ESPECIALIZADOS I</t>
  </si>
  <si>
    <t>SERVICIOS TÉCNICOS ESPECIALIZADOS II</t>
  </si>
  <si>
    <t>TÉCNICO CONTABLE</t>
  </si>
  <si>
    <t>TRABAJADOR SOCIAL</t>
  </si>
  <si>
    <t>TRABAJADORA SOCIAL I</t>
  </si>
  <si>
    <t>TRABAJADORA SOCIAL II</t>
  </si>
  <si>
    <t>SERVICIOS DE LEGALIZACIÓN DE BIENES INMUEBLES</t>
  </si>
  <si>
    <t xml:space="preserve"> SERVICIOS PROFESIONALES EN COMO ASESORA JURÍDICA DE LA COORDINACIÓN GENERAL </t>
  </si>
  <si>
    <t xml:space="preserve"> SERVICIOS TÉCNICOS EN ASUNTOS JURÍDICOS </t>
  </si>
  <si>
    <t xml:space="preserve"> SERVICIOS PROFESIONALES EN ASUNTOS JURÍDICOS </t>
  </si>
  <si>
    <t xml:space="preserve"> SERVICIOS PROFESIONALES COMO ASESOR DE LA COORDINACIÓN GENERAL EN  ASUNTOS JURÍDICOS </t>
  </si>
  <si>
    <t xml:space="preserve"> SERVICIOS PROFESIONALES  COMO ASESORA DE LA COORDINACIÓN GENERAL EN  ASUNTOS JURÍDICOS </t>
  </si>
  <si>
    <t>SERVICIOS ADMINISTRATIVOS Y FINANCIEROS</t>
  </si>
  <si>
    <t>VIATICOS EN EL EXTERIOR</t>
  </si>
  <si>
    <t>VIATICOS DE REPRESENTACION EN EL EXTERIOR</t>
  </si>
  <si>
    <t>VIATICOS EN EL INTERIOR</t>
  </si>
  <si>
    <t>PRESTACIONES POSTUMAS</t>
  </si>
  <si>
    <t>INDEMNIZACIONES AL PERSONAL</t>
  </si>
  <si>
    <t>VACACIONES PAGADAS POR RETIRO</t>
  </si>
  <si>
    <t>OTRAS TRANSFERENCIAS A PERSONAS INDIVIDUALES</t>
  </si>
  <si>
    <t>SENTENCIAS JUDICIALES</t>
  </si>
  <si>
    <t>VIATICOS AL INTERIOR</t>
  </si>
  <si>
    <t>RENGLONES PRESUPUESARIOS</t>
  </si>
  <si>
    <t>INDEMNIZACIÓN AL PERSONAL</t>
  </si>
  <si>
    <t>VIÁTICOS AL INTERIOR</t>
  </si>
  <si>
    <t>DIETAS DEL CONSEJO</t>
  </si>
  <si>
    <t>UNIDAD DE CONSTRUCCION DE EDIFICIOS DEL ESTADO -UCEE-</t>
  </si>
  <si>
    <t>EJERCICIO FISCAL 2016</t>
  </si>
  <si>
    <t>1113-0013-14-00-000-001-000-011-0101-11-0000-0000</t>
  </si>
  <si>
    <t>1113-0013-14-00-000-001-000-021-0101-11-0000-0000</t>
  </si>
  <si>
    <t>1113-0013-14-00-000-001-000-022-0101-11-0000-0000</t>
  </si>
  <si>
    <t>1113-0013-14-00-000-001-000-029-0101-11-0000-0000</t>
  </si>
  <si>
    <t>1113-0013-14-00-000-001-000-031-0101-11-0000-0000</t>
  </si>
  <si>
    <t>1113-0013-14-00-000-001-000-022-0101-11-0000-0001</t>
  </si>
  <si>
    <t>1113-0013-14-00-000-001-000-022-0101-11-0000-0002</t>
  </si>
  <si>
    <t>1113-0013-14-00-000-001-000-022-0101-11-0000-0003</t>
  </si>
  <si>
    <t>1113-0013-96-00-000-001-000-022-0101-11-0000-0000</t>
  </si>
  <si>
    <t>1113-0013-96-00-000-001-000-081-0101-52-0402-0108</t>
  </si>
  <si>
    <t>TOTAL</t>
  </si>
  <si>
    <t>ASESOR PROF. ESPEC. IV</t>
  </si>
  <si>
    <t>DIRECTOR TÉCNICO III</t>
  </si>
  <si>
    <t xml:space="preserve">PROFESIONAL  JEFE I </t>
  </si>
  <si>
    <t xml:space="preserve">PROFESIONAL I </t>
  </si>
  <si>
    <t xml:space="preserve">TÉCNICO PROFESIONAL III </t>
  </si>
  <si>
    <t>TRABAJADOR ESPECIALIZADO JEFE II</t>
  </si>
  <si>
    <t xml:space="preserve">COTIZACIÓN Y VERIFICACIÓN COMPRAS </t>
  </si>
  <si>
    <t>DIRECTOR EJECUTIVO IV-SIN ESPECIALIDAD</t>
  </si>
  <si>
    <t>SUBDIRECTOR EJECUTIVO IV - SIN ESPECIALIDAD</t>
  </si>
  <si>
    <t>SUBDIRECTOR EJECUTIVO III - SIN ESPECIALIDAD</t>
  </si>
  <si>
    <t>SERVICIOS PROFESIONALES EN CONTROL Y SEGUIMIENTO DE OBRA</t>
  </si>
  <si>
    <t>SERVICIOS PROFESIONALES DE ASESOR JURÍDICO</t>
  </si>
  <si>
    <t>AUXILIAR TOPOGRAFÍA IV</t>
  </si>
  <si>
    <t>PILOTO I</t>
  </si>
  <si>
    <t>PEÓN VIGILANTE III</t>
  </si>
  <si>
    <t>TRABAJADOR ECÓNOMO I</t>
  </si>
  <si>
    <t>ASESOR PROFESIONAL ESPECIALIZADO I</t>
  </si>
  <si>
    <t>PROFESIONAL II</t>
  </si>
  <si>
    <t xml:space="preserve"> ASISTENTE PROFESIONAL IV </t>
  </si>
  <si>
    <t xml:space="preserve"> ASISTENTE PROFESIONAL JEFE </t>
  </si>
  <si>
    <t xml:space="preserve"> TÉCNICO PROFESIONAL III </t>
  </si>
  <si>
    <t xml:space="preserve">DIRECTOR EJECUTIVO III                       </t>
  </si>
  <si>
    <t xml:space="preserve"> DIRECTOR EJECUTIVO IV </t>
  </si>
  <si>
    <t xml:space="preserve"> DIRECTOR EJECUTIVO III </t>
  </si>
  <si>
    <t xml:space="preserve"> PROFESIONAL EXPERTO </t>
  </si>
  <si>
    <t xml:space="preserve"> PROFESIONAL </t>
  </si>
  <si>
    <t xml:space="preserve"> TÉCNICO ESPECIALIZADO </t>
  </si>
  <si>
    <t xml:space="preserve"> ADMINISTRATIVO Y TÉCNICO </t>
  </si>
  <si>
    <t>VIÁTICOS</t>
  </si>
  <si>
    <t>SUPERINTENDENCIA DE TELECOMUNICACIONES</t>
  </si>
  <si>
    <t>181</t>
  </si>
  <si>
    <t>185</t>
  </si>
  <si>
    <t>22-00-000-001-0101-32</t>
  </si>
  <si>
    <t>22-00-000-002-0101-32</t>
  </si>
  <si>
    <t>22-00-000-003-0101-32</t>
  </si>
  <si>
    <t>SERVICIOS PARA LA ELABORACIÓN DE ESTUDIOS DE TELECOMUNICACIONES</t>
  </si>
  <si>
    <t>SERVICIOS PROFESIONALES EN MATERIA JURÍDICA</t>
  </si>
  <si>
    <t>SERVICIOS PROFESIONALES DE CAPACITACIONES</t>
  </si>
  <si>
    <t>SERVICIOS TÉCNICOS  EN PROGRAMACIONES DE SISTEMAS COMPUTARIZADOS</t>
  </si>
  <si>
    <t>SERVICIOS TÉCNICOS-PROFESIONALES</t>
  </si>
  <si>
    <t>VIÁTICOS EN EL EXTERIOR</t>
  </si>
  <si>
    <t>TOTAL CC 3088 SERVICIO DE APOYO ADMINISTRATIVO Y FINANCIERO</t>
  </si>
  <si>
    <t>VIÁTICOS EN EL INTERIOR</t>
  </si>
  <si>
    <t>TOTAL CC 2186 REGULACIÓN USO DE FRECUENCIAS</t>
  </si>
  <si>
    <t xml:space="preserve">VIATICOS AL INTERIOR </t>
  </si>
  <si>
    <t>TOTAL MATRIZ RECURSO HUMANO</t>
  </si>
  <si>
    <t>TOTAL CC 3424 Regulación de Telefonía</t>
  </si>
  <si>
    <t>PROGRMA 14 "CONSTRUCCION DE OBRA PUBLICA"</t>
  </si>
  <si>
    <t>SUBDIRECTOR TECNICO III</t>
  </si>
  <si>
    <t>SERVICIO TECNICO DE CONTROL DE AVANCE FÍSICO Y FINANCIERO DE OBRAS</t>
  </si>
  <si>
    <t>SERVICIO TECNICO EN DISEÑO</t>
  </si>
  <si>
    <t>SERVICIO TECNICO EN CONFORMACIÓN DE EXPEDIENTES</t>
  </si>
  <si>
    <t>SERVICIO TECNICO EN INFORMÁTICA</t>
  </si>
  <si>
    <t>SERVICIO TECNICO EN PRESUPUESTO</t>
  </si>
  <si>
    <t>1113-0013-202-00-0401-0000-03-11-00-000-002-000-011-11</t>
  </si>
  <si>
    <t>TRABAJADOR OPERATIVO JEFE I-CONSTRUCCION Y MANTENIMIENTO DE VIAS</t>
  </si>
  <si>
    <t>TRABAJADOR OPERATIVO IV-CONDUCCION DE VEHICULOS</t>
  </si>
  <si>
    <t xml:space="preserve">TRABAJADOR ESPECIALIZADO JEFE I- CONSTRUCCION Y MANTENIMIENTO DE VIAS </t>
  </si>
  <si>
    <t>TECNICO PROFESIONAL I-ADMINISTRACION</t>
  </si>
  <si>
    <t>TECNICO PROFESIONAL I-CONTABILIDAD</t>
  </si>
  <si>
    <t>TRABAJADOR ESPECIALIZADO JEFE I-MECANICA</t>
  </si>
  <si>
    <t>TRABAJADOR ESPECIALIZADO JEFE I</t>
  </si>
  <si>
    <t>TRABAJADOR ESPECIALIZADO I EN MECANICA</t>
  </si>
  <si>
    <t>JEFE TECNICO PROFESIONAL I-ADMINISTRACION</t>
  </si>
  <si>
    <t>TRABAJADOR ESPECIALIZADO I-HERRERIA</t>
  </si>
  <si>
    <t>TECNICO PROFESIONAL I-TRABAJO SOCIAL</t>
  </si>
  <si>
    <t>TRABAJADOR OPERATIVO III-CONSTRUCCION Y MANTENIMIENTO DE VIAS</t>
  </si>
  <si>
    <t>TRABAJADOR OPERATIVO III-CONDUCCION DE VEHICULOS</t>
  </si>
  <si>
    <t>TECNICO II-ADMINISTRACION</t>
  </si>
  <si>
    <t>TRABAJADOR OPERATIVO III-CONTROL Y DESPACHO COMBUSTIBLE</t>
  </si>
  <si>
    <t>TRABAJADOR OPERATIVO IV-CONSTRUCCION Y MANTENIMIENTO DE VIAS</t>
  </si>
  <si>
    <t>OFICINISTA III-CORRECCION DE PRUEBAS</t>
  </si>
  <si>
    <t>OFICINISTA IV-CONTABILIDAD</t>
  </si>
  <si>
    <t>TRABAJADOR ESPECIALIZADO JEFE I-CONSTRUCCION Y MANTENIMIENTO DE VIAS</t>
  </si>
  <si>
    <t>JEFE TECNICO II-CONSTRUCCION Y MANTENIMIENTO DE VIAS</t>
  </si>
  <si>
    <t>TRABAJADOR ESPECIALIZADO II EN MECANICA</t>
  </si>
  <si>
    <t>TRABAJADOR OPERATIVO JEFE II-OPERACIÓN DE MAQUINARIA PESADA</t>
  </si>
  <si>
    <t>TECNICO PROFESIONAL III-PLANIFICACION</t>
  </si>
  <si>
    <t>TECNICO PROFESIONAL III-DERECHO</t>
  </si>
  <si>
    <t>TECNICO PROFESIONAL III-ADMINISTRACION DE PERSONAL</t>
  </si>
  <si>
    <t>TECNICO III-CONTABILIDAD</t>
  </si>
  <si>
    <t xml:space="preserve">TRABAJADOR OPERATIVO II </t>
  </si>
  <si>
    <t>ASISTENTE PROFESIONAL III-ADMINISTRACION</t>
  </si>
  <si>
    <t xml:space="preserve">TECNICO III-ADMINISTRACION </t>
  </si>
  <si>
    <t>ASISTENTE PROFESIONAL JEFE-ADMINISTRACION</t>
  </si>
  <si>
    <t>TECNICO III VALUACION DE BIENES INMUEBLES</t>
  </si>
  <si>
    <t xml:space="preserve">TECNICO I-TRABAJO SOCIAL </t>
  </si>
  <si>
    <t>TECNICO III-ADMINISTRACION</t>
  </si>
  <si>
    <t xml:space="preserve">TECNICO PROFESIONAL I-AUDITORIA </t>
  </si>
  <si>
    <t>TECNICO I CONTABILIDAD</t>
  </si>
  <si>
    <t>SECRETARIO EJECUTIVO I-ACTIVIDADES SECRETARIALES</t>
  </si>
  <si>
    <t>PROFESIONAL JEFE I-PLANIFICACION</t>
  </si>
  <si>
    <t xml:space="preserve">TECNICO PROFESIONAL III-PLANIFICACION </t>
  </si>
  <si>
    <t>TECNICO PROFESIONAL II-ESTADISTICA</t>
  </si>
  <si>
    <t>TRABAJADOR ESPECIALIZADO I-VIALIDAD</t>
  </si>
  <si>
    <t>TECNICO III-DIBUJO</t>
  </si>
  <si>
    <t>JEFE TECNICO PROFESIONAL I-FINANZAS</t>
  </si>
  <si>
    <t xml:space="preserve">JEFE TECNICO I-CONTABILIDAD </t>
  </si>
  <si>
    <t>JEFE TECNICO I-CONTABILIDAD</t>
  </si>
  <si>
    <t>TECNICO II-CONTABILIDAD</t>
  </si>
  <si>
    <t>TECNICO PROFESIONAL III-CONTABILIDAD</t>
  </si>
  <si>
    <t xml:space="preserve">JEFE TECNICO I-ADMINISTRACION DE PERSONAL </t>
  </si>
  <si>
    <t>SECRETARIO OFICINISTA-ACTIVIDADES SECRETARIALES</t>
  </si>
  <si>
    <t>TRABAJADOR OPERATIVO III-RESGUARDO Y VIGILANCIA</t>
  </si>
  <si>
    <t>TRABAJADOR ESPECIALIZADO II-IMPRESIÓN</t>
  </si>
  <si>
    <t xml:space="preserve">TRABAJADOR OPERATIVO III-CONSTRUCCION Y MANTENIMIENTO DE VIAS </t>
  </si>
  <si>
    <t>TRABAJADOR OPERATIVO III-ALMACENAJE</t>
  </si>
  <si>
    <t xml:space="preserve">TECNICO PROFESIONAL II ADMINISTRACION </t>
  </si>
  <si>
    <t>TECNICO PROFESIONAL III-INGENIERIA CIVIL</t>
  </si>
  <si>
    <t xml:space="preserve">TECNICO I-ESTADISTICA </t>
  </si>
  <si>
    <t xml:space="preserve">TECNICO I-DIBUJO </t>
  </si>
  <si>
    <t>TRABAJADOR OPERATIVO IV-IMPRESIÓN</t>
  </si>
  <si>
    <t xml:space="preserve">TECNICO PROFESIONAL II-ADMINISTRCION </t>
  </si>
  <si>
    <t>TECNICO PROFESIONAL II-INGENIERIA CIVIL</t>
  </si>
  <si>
    <t>TRABAJADOR ESPECIALIZADO II-LABORATORIO</t>
  </si>
  <si>
    <t>TRABAJADOR ESPECIALIZADO III-PRUEBA DE MATERIALES Y SUELOS</t>
  </si>
  <si>
    <t>TECNICO III-CONSTRUCCION CIVIL</t>
  </si>
  <si>
    <t>PROFESIONAL JEFE I-ADIESTRAMIENTO</t>
  </si>
  <si>
    <t>PROFESIONAL III-ADIESTRAMIENTO</t>
  </si>
  <si>
    <t>TECNICO II-ADIESTRAMIENTO</t>
  </si>
  <si>
    <t>TECNICO II-TRADUCCION</t>
  </si>
  <si>
    <t xml:space="preserve">TECNICO III-PERIODISMO </t>
  </si>
  <si>
    <t>PROFESIONAL JEFE II-INGENIERIA CIVIL</t>
  </si>
  <si>
    <t>TECNICO I-COMPRAS Y SUMINISTROS</t>
  </si>
  <si>
    <t>TECNICO III-CONSTRUCCION Y MANTENIMIENTO DE VIAS</t>
  </si>
  <si>
    <t>TECNICO I-CONTABILIDAD</t>
  </si>
  <si>
    <t>OFICINISTA III-CONTABILIDAD</t>
  </si>
  <si>
    <t xml:space="preserve">TRABAJADOR OPERATIVO IV-CONSTRUCCION Y MANTENIMIENTO DE VIAS </t>
  </si>
  <si>
    <t xml:space="preserve">SECRETARIO OFICINISTA </t>
  </si>
  <si>
    <t>TRABAJADOR ESPECIALIZADO II-PRUEBA DE MATERIALES Y SUELOS</t>
  </si>
  <si>
    <t>TRABAJADOR ESPECIALIZADO I-MUSICA</t>
  </si>
  <si>
    <t>TRABAJADOR OPERATIVO III-TRABAJOS CON FINES TOPOGRAFICOS</t>
  </si>
  <si>
    <t>TRABAJADOR ESPECIALIZADO I-PINTURA</t>
  </si>
  <si>
    <t>TRABAJADOR OPERATIVO Ill</t>
  </si>
  <si>
    <t>TRABAJADOR OPERATIVO IV-CONSTRUCCION Y MANTENIMIENTOS DE VIAS</t>
  </si>
  <si>
    <t xml:space="preserve">TRABAJADOR OPERATIVO JEFE l-MECANICA </t>
  </si>
  <si>
    <t>OFICINISTA I-OFICINA</t>
  </si>
  <si>
    <t xml:space="preserve">TECNICO III-CONSTRUCCION CIVIL </t>
  </si>
  <si>
    <t xml:space="preserve">TECNICO II-COMPUTACION </t>
  </si>
  <si>
    <t>OFICINISTA IV-OFICINA</t>
  </si>
  <si>
    <t xml:space="preserve">TRABAJADOR OPERATIVO II-CONSTRUCCION Y MANTENIMIENTO DE VIAS </t>
  </si>
  <si>
    <t>TRABAJADOR OPERATIVO II-CONSTRUCCION Y MANTENIMIENTO DE EDIFICIOS</t>
  </si>
  <si>
    <t>ASISTENTE PROFESIONAL JEFE -ADMINISTRACION</t>
  </si>
  <si>
    <t>TECNICO I-ADMINISTRACION</t>
  </si>
  <si>
    <t>TRABAJADOR ESPECIALIZADO JEFE I MECANICA</t>
  </si>
  <si>
    <t>TRABAJADOR OPERATIVO III-MECANICA</t>
  </si>
  <si>
    <t>TRABAJADOR OPERATIVO IV-CONTROL Y DESPACHO COMBUSTIBLES</t>
  </si>
  <si>
    <t>TRABAJADOR OPERATIVO II-CONSERJERIA</t>
  </si>
  <si>
    <t>TRABAJADOR ESPECIALIZADO II-OPERACIÓN DE BASCULAS</t>
  </si>
  <si>
    <t xml:space="preserve">TRABAJADOR OPERATIVO III-PREPARACION Y SERVICIOS DE ALIMENTOS </t>
  </si>
  <si>
    <t>TECNICO PROFESIONAL II-ADMINISTRACION</t>
  </si>
  <si>
    <t>TECNICO PROFESIONAL III-ADMINISTRACION</t>
  </si>
  <si>
    <t xml:space="preserve">TRABAJADOR  ESPECIALIZADO JEFE I-CONSTRUCCION Y MANTENIMIENTO DE VIAS </t>
  </si>
  <si>
    <t>PROFESIONAL JEFE III-INGENIERIA CIVIL</t>
  </si>
  <si>
    <t xml:space="preserve">TRABAJADOR OPERATIVO JEFE I-CONSTRUCCION Y MANTENIMIENTO DE VIAS </t>
  </si>
  <si>
    <t>TRABAJADOR OPERATIVO II-MECANICA</t>
  </si>
  <si>
    <t>TRABAJADOR OPERATIVO III-CONTROL DE DESPACHO COMBUSTIBLE</t>
  </si>
  <si>
    <t>TECNICO I-DIBUJO</t>
  </si>
  <si>
    <t>TRABAJADOR ESPECIALIZADO II-HERRERIA</t>
  </si>
  <si>
    <t>TRABAJADOR ESPECIALIZADO I-CARPINTERIA</t>
  </si>
  <si>
    <t xml:space="preserve">TRABAJADOR OPERATIVO JEFEI-CONSTRUCCION Y MANTENIMIENTO DE VIAS </t>
  </si>
  <si>
    <t>TRABAJADOR ESPECIALIZADO JEFE I-TOPOGRAFIA</t>
  </si>
  <si>
    <t xml:space="preserve">TECNICO II-ADMINISTRACION </t>
  </si>
  <si>
    <t xml:space="preserve">TECNICO III-CONTABILIDAD </t>
  </si>
  <si>
    <t>TRABAJADOR OPERATIVO III-PINTURA</t>
  </si>
  <si>
    <t xml:space="preserve">JEFE TECNICO II-CONSTRUCCION Y MANTENIMIENTO DE VIAS </t>
  </si>
  <si>
    <t>TECNICO PROFESIONAL I-ADMISTRACION</t>
  </si>
  <si>
    <t xml:space="preserve">TECNICO PROFESIONAL II-CONTABILIDAD </t>
  </si>
  <si>
    <t>TRABAJADOR OPERATIVO IV-MECANICA</t>
  </si>
  <si>
    <t>TRABAJADOR OPERATIVO II-RESGUARDO Y VIGILANCIA</t>
  </si>
  <si>
    <t>TRABAJADOR OPERATIVO III-PREPARACION Y SERVICIOS DE ALIMENTOS</t>
  </si>
  <si>
    <t xml:space="preserve">OFICINISTA II  </t>
  </si>
  <si>
    <t>TRABAJADOR OPERATIVO III-CONSTRUCCION Y MANTENIMIENTO DE EDIFICIOS</t>
  </si>
  <si>
    <t>TECNICO II-CONSTRUCCION CIVIL</t>
  </si>
  <si>
    <t xml:space="preserve">TRABAJADOR OPERATIVO IV-OPERACIÓN DE RADIO </t>
  </si>
  <si>
    <t xml:space="preserve">TECNICO II-ADMINISTRACION DE PERSONAL </t>
  </si>
  <si>
    <t>OFICINISTA  III.OFICINISTA</t>
  </si>
  <si>
    <t>TECNICO PROFESIONAL I-COMPUTACION</t>
  </si>
  <si>
    <t>TECNICO II-COMPUTACION</t>
  </si>
  <si>
    <t>OFICINISTA III-ALMACENAJE</t>
  </si>
  <si>
    <t>TRABAJADOR ESPECIALIZADO I-OPERACIÓN DE RADIO</t>
  </si>
  <si>
    <t>JEFE DE CAJA Y PAGADURÍA</t>
  </si>
  <si>
    <t>2016-1113-0013-202-11-00-000-001-000-021-0101-11</t>
  </si>
  <si>
    <t>JEFE DE CONTABILIDAD</t>
  </si>
  <si>
    <t>JEFE DE SECCIÓN DE INVENTARIOS</t>
  </si>
  <si>
    <t>SUB-JEFE DE PRESUPUESTO</t>
  </si>
  <si>
    <t>ENCARGADO DE CAJA CHICA</t>
  </si>
  <si>
    <t>DIRECTOR</t>
  </si>
  <si>
    <t>2016-1113-0013-202-11-00-000-001-000-022-0101-12</t>
  </si>
  <si>
    <t>SUB-DIRECTOR ADMINISTRATIVO</t>
  </si>
  <si>
    <t>SUB-DIRECTOR TÉCNICO</t>
  </si>
  <si>
    <t>SECRETARIO GENERAL</t>
  </si>
  <si>
    <t>COORDINADOR FINANCIERO</t>
  </si>
  <si>
    <t>COORDINADOR DE ASUNTOS JURIDICOS</t>
  </si>
  <si>
    <t>SUBSECRETARIA GENERAL</t>
  </si>
  <si>
    <t>ASESOR JURIDICO DE LA COMISION RECEPTORA</t>
  </si>
  <si>
    <t>ASESOR JURIDICO AREA DERECHO DE VIA</t>
  </si>
  <si>
    <t>ASESOR JURIDICO AREA DE CONTRATOS</t>
  </si>
  <si>
    <t>SUBJEFE DE RECURSOS HUMANOS</t>
  </si>
  <si>
    <t>SUPERVISOR AUDITORIA INTERNA</t>
  </si>
  <si>
    <t>COORDINADOR DIVISION DE PLANIFICACION Y ESTUDIOS</t>
  </si>
  <si>
    <t>JEFE DEL DEPARTAMENTO DE PREINVERSION</t>
  </si>
  <si>
    <t>JEFE DEL DEPARTAMENTO DE GESTION AMBIENTAL</t>
  </si>
  <si>
    <t>JEFE DEL DEPARTAMENTO DE INGENIERIA DE TRANSITO</t>
  </si>
  <si>
    <t>COORDINADOR DE UNIDAD DE RIOS Y CANALES</t>
  </si>
  <si>
    <t>COORDINADOR DE FINANCIAMIENTO EXTERNO</t>
  </si>
  <si>
    <t>DELEGADO RESIDENTE UNIDAD DE RIOS Y CANALES</t>
  </si>
  <si>
    <t>SUBJEFE INGENIERIA DE TRANSITO</t>
  </si>
  <si>
    <t>JEFE DEL DEPARTAMENTO DE CONTROL DE INVERSION</t>
  </si>
  <si>
    <t>COORDINADOR DIVISION SUPERVISION DE CONSTRUCCIONES</t>
  </si>
  <si>
    <t>SUBJEFE SUPERVISION DE CONSTRUCCIONES</t>
  </si>
  <si>
    <t>SUPERVISOR REGIONAL</t>
  </si>
  <si>
    <t>JEFE DE ANALISTA DE VISA DE EXPEDIENTES</t>
  </si>
  <si>
    <t>COORDINADOR DIVISION DE MANTENIMIENTO POR ADMINISTRACION</t>
  </si>
  <si>
    <t>SUBJEFE DIVISION DE MANTENIMIENTO POR ADMINISTRACION</t>
  </si>
  <si>
    <t xml:space="preserve">JEFE ZONA VIAL </t>
  </si>
  <si>
    <t xml:space="preserve">SUBJEFE ZONA VIAL </t>
  </si>
  <si>
    <t>TECNICO DE SOPORTE DE LA UNIDAD DE TECNOLOGIAS DE LA INFORMACION DE LA DIRECCION GENERAL DE CAMINOS</t>
  </si>
  <si>
    <t>2016-1113-0013-202-11-00-000-001-000-029-0101-11</t>
  </si>
  <si>
    <t xml:space="preserve">ASESOR EN ASUNTOS ADMINISTRATIVOS  DE DIVISION ADMINISTRATIVAS DE LA DIRECCIÓN GENERAL DE CAMINOS </t>
  </si>
  <si>
    <t>TÉCNICO   EN   AUDITORÍA    DE CAMPO   DE LA AUDITORÍA INTERNA DE LA DIRECCIÓN GENERAL DE CAMINOS</t>
  </si>
  <si>
    <t>TÉCNICO EN SERVICIOS ADMINISTRATIVOS  DE LA  DIVISIÓN DE MANTENIMIENTO POR ADMINISTRACIÓN DE LA DIRECCIÓN GENERAL DE CAMINOS</t>
  </si>
  <si>
    <t>ASESOR DE LA  COORDINACIÓN DE LA DIVISIÓN DE PLANIFICACION Y ESTUDIOS DE LA DIRECCIÓN GENERAL DE CAMINOS</t>
  </si>
  <si>
    <t>ASESOR EN INGENIERIA  DEL DEPARTAMENTO TÉCNICO DE INGENIERÍA DE LA DIVISIÓN DE PLANIFICACIÓN Y ESTUDIOS DE LA DIRECCIÓN GENERAL DE CAMINOS.</t>
  </si>
  <si>
    <t>TECNICO DE LA SECCION DE ANALISIS Y DESARROLLO DE SISTEMAS DE LA UNIDAD DE TECNOLOGIAS DE LA INFORMACION DE LA DIRECCION GENERAL DE CAMINOS</t>
  </si>
  <si>
    <t>TÉCNICO EN SERVICIOS FINANCIEROS DE LA SECCIÓN DEL GASTO DE LA DIVISIÓN FINANCIERA DE  LA  DIRECCIÓN  GENERAL DE CAMINOS</t>
  </si>
  <si>
    <t>TÉCNICO DE DERECHO DE VÍA DE LA UNIDAD DE ASESORÍA JURÍDICA DE LA DIRECCIÓN GENERAL DE CAMINOS</t>
  </si>
  <si>
    <t>TÉCNICO  EN  RECURSOS  HUMANOS  DE  LA DIVISIÓN ADMINISTRATIVA DE LA DIRECCIÓN GENERAL DE CAMINOS</t>
  </si>
  <si>
    <t xml:space="preserve"> TÉCNICO  EN  ASUNTOS ADMINISTRATIVOS </t>
  </si>
  <si>
    <t>TÉCNICO EN ADMINISTRACIÓN DE LA DIRECCIÓN GENERAL DE CAMINOS</t>
  </si>
  <si>
    <t>TÉCNICO  EN LIQUIDACIÓN DE  PROYECTOS DE LA COMISIÓN RECEPTORA Y LIQUIDADORA DE PROYECTOS -CORELIP- , DE LA SUB DIRECCIÓN TÉCNICA DE LA DIRECCIÓN GENERAL DE CAMINOS</t>
  </si>
  <si>
    <t>ASESOR DE RECURSOS HUMANOS</t>
  </si>
  <si>
    <t xml:space="preserve">ASESOR EN MEDIO AMBIENTE DEL DEPARTAMENTO DE GESTIÓN AMBIENTAL DE LA DIVISIÓN DE PLANIFICACIÓN Y ESTUDIOS DE LA DIRECCIÓN GENERAL DE CAMINOS                                                                                                                                                                             </t>
  </si>
  <si>
    <t>ASESOR DE LA UNIDAD DE TECNOLOGIAS DE LA INFORMACION DE LA DIRECCION GENERAL DE CAMINOS</t>
  </si>
  <si>
    <t>ASESOR EN MANTENIMIENTO VIAL  DE LA DIVISIÓN DE SUPERVISIÓN DE CONSTRUCCIONES DE LA DIRECCIÓN GENERAL DE CAMINOS</t>
  </si>
  <si>
    <t>TÉCNICO FINANCIERO  DE LA DIVISIÓN DE SUPERVISIÓN DE CONSTRUCCIONES DE LA DIRECCIÓN GENERAL DE CAMINOS</t>
  </si>
  <si>
    <t>TÉCNICO EN CARPINTERÍA DE LA SECCIÓN DE TALLERES DE LA DIVISIÓN DE MANTENIMIENTO POR ADMINISTRACIÓN DE LA DIRECCIÓN GENERAL DE CAMINOS</t>
  </si>
  <si>
    <t>ASESOR EN MANTENIMIENTO VIAL DE LA COORDINADORA  DE LA DIVISIÓN DE MANTENIMIENTO POR ADMINISTRACIÓN DE LA DIRECCIÓN GENERAL DE CAMINOS</t>
  </si>
  <si>
    <t xml:space="preserve">TÉCNICO EN MEDIO AMBIENTE  DEL DEPARTAMENTO DE GESTIÓN AMBIENTAL DE  LA DIVISIÓN DE PLANIFICACIÓN Y ESTUDIOS DE LA DIRECCIÓN GENERAL DE CAMINOS </t>
  </si>
  <si>
    <t>TÉCNICO  FINANCIERO  DE LA DIVISIÓN FINANCIERA DE LA DIRECCIÓN GENERAL DE CAMINOS</t>
  </si>
  <si>
    <t>TÉCNICO FINANCIERO DE LA DIVISIÓN DE SUPERVISIÓN DE CONSTRUCCIONES DE LA DIRECCIÓN GENERAL DE CAMINOS</t>
  </si>
  <si>
    <t>ASESOR DE LA UNIDAD DE VISA DE EXPEDIENTES DE LA DIVISIÓN DE SUPERVISIÓN DE CONSTRUCCIONES  DE LA DIRECCIÓN GENERAL DE CAMINOS</t>
  </si>
  <si>
    <t>TÉCNICO EN  SECCIÓN DE TALLERES DE LA DIVISIÓN DE MANTENIMIENTO POR ADMINISTRACIÓN DE LA DIRECCIÓN GENERAL DE CAMINOS</t>
  </si>
  <si>
    <t>ASESOR LABORAL DE RECURSOS HUMANOS DE LA DIVISIÓN ADMINISTRATIVA DE LA DIRECCIÓN GENERAL DE CAMINOS</t>
  </si>
  <si>
    <t>TECNICO DE REDES DE LA UNIDAD DE TECNOLOGIAS DE LA INFORMACION DE LA DIRECCION GENERAL DE CAMINOS</t>
  </si>
  <si>
    <t>ASESOR EN  HIDRÁULICA FLUVIAL DE LA  DIRECCIÓN GENERAL DE CAMINOS</t>
  </si>
  <si>
    <t xml:space="preserve"> ASESOR JURÍDICO DE LA UNIDAD DE ASESORÍA JURÍDICA  DE LA DIRECCIÓN GENERAL DE CAMINOS                                                                                                                   </t>
  </si>
  <si>
    <t>TÉCNICO EN  SUMINISTROS DE LA DIVISIÓN ADMINISTRATIVA  DE LA DIRECCIÓN GENERAL DE CAMINOS</t>
  </si>
  <si>
    <t>TÉCNICO DE INGENIERÍA DEL DEPARTAMENTO TÉCNICO DE INGENIERÍA DE LA DIRECCIÓN GENERAL DE CAMINOS</t>
  </si>
  <si>
    <t>TECNICO OPERADOR DE EQUIPO PESADO</t>
  </si>
  <si>
    <t>ASESOR  DE PROYECTOS BCIE-KFW DE LA COORDINADORA DE FINANCIAMIENTO EXTERNO DE LA DIVISIÓN DE PLANIFICACIÓN Y ESTUDIOS DE LA DIRECCIÓN GENERAL DE CAMINOS</t>
  </si>
  <si>
    <t xml:space="preserve"> TÉCNICO EN MANTENIMIENTO VIAL DE LA DIVISIÓN DE MANTENIMIENTO POR ADMINISTRACIÓN, DE LA DIRECCIÓN GENERAL DE CAMINOS                                     </t>
  </si>
  <si>
    <t>ASESOR EN PAVIMENTOS DEL DEPARTAMENTO TÉCNICO DE INGENIERÍA DE LA DIVISIÓN DE PLANIFICACIÓN Y ESTUDIOS DE LA DIRECCIÓN GENERAL DE CAMINOS</t>
  </si>
  <si>
    <t>TÉCNICO EN ASUNTOS FINANCIEROS  DEL DEPARTAMENTO DE SUELDOS Y SALARIOS DE LA DIVISIÓN FINANCIERA DE LA DIRECCIÓN GENERAL DE CAMINOS</t>
  </si>
  <si>
    <t xml:space="preserve"> TÉCNICO VIAL DE LA DIVISIÓN DE MANTENIMIENTO POR ADMINISTRACIÓN DE LA DIRECCIÓN GENERAL DE CAMINOS                                                                                                      </t>
  </si>
  <si>
    <t>TÉCNICO   FINANCIERO DE LA COORDINADORA BID  DE  LA DIVISIÓN DE PLANIFICACIÓN Y ESTUDIOS DE LA DIRECCIÓN GENERAL  DE  CAMINOS</t>
  </si>
  <si>
    <t>ASESOR EN  AUDITORÍA  INTERNA DE LA DIRECCIÓN GENERAL DE CAMINOS</t>
  </si>
  <si>
    <t xml:space="preserve"> TÉCNICO EN PUENTES PREFABRICADOS Y PUENTES TIPO BAILEY DE LA DIVISIÓN  DE MANTENIMIENTO POR ADMINISTRACIÓN DE LA DIRECCIÓN GENERAL DE CAMINOS,                                                          </t>
  </si>
  <si>
    <t>ASESOR PROFESIONAL EN SERVICIOS MEDICOS DE LA DIVISIÓN ADMINISTRATIVA DE LA DIRECCION GENERAL DE CAMINOS</t>
  </si>
  <si>
    <t>TÉCNICO EN  INGENIERÍA DE TRÁNSITO DE LA DIVISIÓN DE PLANIFICACIÓN Y ESTUDIOS DE LA DIRECCIÓN GENERAL DE CAMINOS</t>
  </si>
  <si>
    <t>ASESOR JURÍDICO DE LA UNIDAD DE ASESORÍA JURÍDICA DE LA DIRECCIÓN GENERAL DE CAMINOS</t>
  </si>
  <si>
    <t>ASESOR  EN DISEÑO ESTRUCTURAL DEL DEPARTAMENTO TÉCNICO DE INGENIERÍA DE LA DIVISIÓN DE PLANIFICACIÓN Y ESTUDIOS DE LA  DIRECCIÓN GENERAL DE CAMINOS</t>
  </si>
  <si>
    <t>TÉCNICO EN MANTENIMIENTO DE EDIFICIOS DE LA DIRECCIÓN GENERAL DE CAMINOS</t>
  </si>
  <si>
    <t>TÉCNICO FINANCIERO DE LA UNIDAD DE VISA DE EXPEDIENTES DE LA DIVISIÓN DE SUPERVISIÓN DE CONSTRUCCIONES DE LA  DIRECCIÓN GENERAL DE CAMINOS</t>
  </si>
  <si>
    <t>ASESOR EN DISEÑO ESTRUCTURAL DEL DEPARTAMENTO TÉCNICO DE INGENIERÍA DE LA DIVISIÓN DE PLANIFICACIÓN Y ESTUDIOS DE LA DIRECCIÓN GENERAL DE CAMINOS,</t>
  </si>
  <si>
    <t>TÉCNICO EN PRESUPUESTO DEL DEPARTAMENTO DE PRESUPUESTO DE LA DIVISIÓN FINANCIERA DE LA DIRECCIÓN GENERAL DE CAMINOS</t>
  </si>
  <si>
    <t>ASESOR JURÍDICO DE LA UNIDAD DE ASESORÍA JURÍDICA  DE LA DIRECCIÓN GENERAL DE CAMINOS</t>
  </si>
  <si>
    <t>TÉCNICO EN ASPECTOS LEGALES  DEL ÁREA LABORAL - LITIGIOS DE LA ASESORÍA JURÍDICA DE LA DIRECCIÓN GENERAL DE CAMINOS</t>
  </si>
  <si>
    <t>TÉCNICO EN GESTIÓN Y SEGUIMIENTO DE PROYECTOS CON FINANCIAMIENTO EXTERNO DE LA COORDINADORA DE FINANCIAMIENTO EXTERNO DE LA DIVISIÓN DE PLANIFICACIÓN Y ESTUDIOS DE LA DIRECCIÓN GENERAL DE CAMINOS</t>
  </si>
  <si>
    <t>TÉCNICO FINANCIERO  DEL DEPARTAMENTO DE CONTROL DE INVERSIÓN DE LA DIVISIÓN FINANCIERA  DE LA DIRECCIÓN GENERAL DE CAMINOS</t>
  </si>
  <si>
    <t>CONSULTOR EN AUDITORÍA INTERNA DE LA DIRECCIÓN GENERAL DE CAMINOS</t>
  </si>
  <si>
    <t xml:space="preserve"> TÉCNICO EN MANTENIMIENTO DE VEHÍCULOS DE LA DIVISIÓN DE MANTENIMIENTO POR ADMINISTRACIÓN DE LA  DIRECCIÓN GENERAL DE CAMINOS,                                 </t>
  </si>
  <si>
    <t>ASESOR DE LOS PRESTAMOS BCIE Y BNDES DE LA COORDINADORA DE FINANCIAMIENTO EXTERNO DE LA DIVISIÓN DE PLANIFICACIÓN Y ESTUDIOS DE LA DIRECCIÓN GENERAL DE CAMINOS</t>
  </si>
  <si>
    <t>ASESOR JURÍDICO DE DERECHO DE VÍA DE LA UNIDAD DE ASESORÍA JURÍDICA DE LA DIRECCIÓN GENERAL DE CAMINOS</t>
  </si>
  <si>
    <t>TÉCNICO EN TOPOGRAFÍA DEL DEPARTAMENTO TÉCNICO DE INGENIERÍA  DE LA DIVISIÓN DE PLANIFICACIÓN Y ESTUDIOS DE LA DIRECCIÓN GENERAL DE CAMINOS</t>
  </si>
  <si>
    <t>TÉCNICO DE PROYECTOS BCIE-KFW DE LA COORDINADORA DE FINANCIAMIENTO EXTERNO DE LA DIVISIÓN DE PLANIFICACIÓN Y ESTUDIOS DE LA DIRECCIÓN GENERAL DE CAMINOS</t>
  </si>
  <si>
    <t>TÉCNICO DE INGENIERÍA DE LA COORDINADORA BCIE-KFW-JBIC-GTP-5-TAIWAN-JICA DE LA COORDINADORA DE FINANCIAMIENTO EXTERNO DE LA DIVISIÓN DE PLANIFICACIÓN Y ESTUDIOS DE LA DIRECCIÓN GENERAL DE CAMINOS</t>
  </si>
  <si>
    <t>TÉCNICO JURÍDICO DE LA UNIDAD DE ASESORÍA JURÍDICA DE LA DIRECCIÓN GENERAL DE CAMINOS</t>
  </si>
  <si>
    <t>TÉCNICO EN ASUNTOS FINANCIEROS, DEL DEPARTAMENTO DE CAJA Y PAGADURÍA DE LA DIVISIÓN FINANCIERA DE LA DIRECCIÓN GENERAL DE CAMINOS</t>
  </si>
  <si>
    <t>TECNICO EN ADQUISICIONES</t>
  </si>
  <si>
    <t>TECNICO EN MANTENIMIENTO DE VEHICULOS DE LA DIRECCION GENERAL DE CAMINOS</t>
  </si>
  <si>
    <t>ASESOR EN MANTENIMIENTO VIAL DE LA DIVISIÓN DE SUPERVISIÓN DE CONSTRUCCIONES.</t>
  </si>
  <si>
    <t>TECNICO FINANCIERO DEL DEPARTAMENTO DE SUELDOS Y SALARIOS DE LA DIVISION FINANCIERA DE LA DIRECCION GENERAL DE CAMINOS</t>
  </si>
  <si>
    <t>ASESOR DE PROYECTOS DEL DEPARTAMENTO DE PRE INVERSIÓN DE LA DIVISIÓN DE PLANIFICACIÓN Y ESTUDIOS DE LA DIRECCIÓN GENERAL DE CAMINOS</t>
  </si>
  <si>
    <t>ASESOR EN DISEÑO GEOMÉTRICO DEL DEPARTAMENTO TÉCNICO DE INGENIERÍA DE LA DIVISIÓN DE PLANIFICACIÓN Y ESTUDIOS DE LA DIRECCIÓN GENERAL DE CAMINOS</t>
  </si>
  <si>
    <t>TÉCNICO ANALISTA DE GESTIÓN SOCIAL DE PROYECTOS</t>
  </si>
  <si>
    <t>ASESOR EN CONTROL DE PESOS Y  DIMENSIÓN DEL DEPARTAMENTO DE  INGENIERÍA DE TRÁNSITO DE LA DIVISIÓN DE PLANIFICACIÓN Y ESTUDIOS DE LA  DIRECCIÓN GENERAL DE CAMINOS</t>
  </si>
  <si>
    <t>TÉCNICO DE LABORATORIO DE  LA DIVISIÓN DE MANTENIMIENTO POR ADMINISTRACIÓN DE LA DIRECCIÓN GENERAL DE CAMINOS</t>
  </si>
  <si>
    <t xml:space="preserve"> ASESOR VIAL DE LA DIVISIÓN DE MANTENIMIENTO POR ADMINISTRACIÓN DE LA DIRECCIÓN GENERAL DE CAMINOS                                                                                                       </t>
  </si>
  <si>
    <t>TÉCNICO FINANCIERO   DE   LA DIVISIÓN   FINANCIERA   DE   LA   DIRECCIÓN GENERAL   DE   CAMINOS</t>
  </si>
  <si>
    <t>TÉCNICO DE CONTROL Y SEGUIMIENTO DE PROYECTOS, DE LA DIVISIÓN DE SUPERVISIÓN DE CONSTRUCCIONES, DE LA DIRECCIÓN GENERAL DE CAMINOS</t>
  </si>
  <si>
    <t>TECNICO PILOTO AUTOMOVILISTA DE LA DIVISION DE PLANIFICACION Y ESTUDIO DE LA DIRECCION GENERAL DE CAMINOS</t>
  </si>
  <si>
    <t>ASESOR EN PLANIFICACIÓN, INGENIERÍA VIAL E HIDRÁULICA FLUVIAL DE LA DIVISIÓN DE PLANIFICACIÓN Y ESTUDIOS DE LA  DIRECCIÓN GENERAL DE CAMINOS</t>
  </si>
  <si>
    <t>TÉCNICO  FINANCIERO    DE   LA   DIVISIÓN   FINANCIERA  DE LA DIRECCIÓN GENERAL DE CAMINOS</t>
  </si>
  <si>
    <t>ASESOR TÉCNICO  DE CONSTRUCCIÓN Y MANTENIMIENTO DE PUENTES DE LA DIVISIÓN DE MANTENIMIENTO POR ADMINISTRACIÓN DE LA DIRECCIÓN GENERAL DE CAMINOS</t>
  </si>
  <si>
    <t>ANALISTA EN CONTROL Y SEGUIMIENTO DE PROYECTOS</t>
  </si>
  <si>
    <t>2016-1113-013-202-11-00-000-002-000-031-0101-11</t>
  </si>
  <si>
    <t xml:space="preserve">ALBAÑIL II </t>
  </si>
  <si>
    <t>ALBAÑIL III</t>
  </si>
  <si>
    <t>AUXILIAR DE HERRERÍA</t>
  </si>
  <si>
    <t>AUXILIAR DE OP DE MAQ</t>
  </si>
  <si>
    <t>AUXILIAR DE TOPOGRAFÍA II</t>
  </si>
  <si>
    <t xml:space="preserve">BODEGUERO II </t>
  </si>
  <si>
    <t>BODEGUERO III</t>
  </si>
  <si>
    <t>BODEGUERO IV</t>
  </si>
  <si>
    <t>CAPORAL</t>
  </si>
  <si>
    <t>CARPINTERO I</t>
  </si>
  <si>
    <t xml:space="preserve">CARPINTERO II </t>
  </si>
  <si>
    <t>CARPINTERO III</t>
  </si>
  <si>
    <t>CARPINTERO IV</t>
  </si>
  <si>
    <t>CONDUCTOR DE VEHICULOS PESADOS</t>
  </si>
  <si>
    <t>CONDUCTOR DE VEHICULOS LIVIANOS</t>
  </si>
  <si>
    <t>CONSTRUCTOR DE PUENTES</t>
  </si>
  <si>
    <t>COCINERO</t>
  </si>
  <si>
    <t>DISTRIBUIDOR MOVIL DE COMBUSTIBLE</t>
  </si>
  <si>
    <t xml:space="preserve">ELECTRICISTA I </t>
  </si>
  <si>
    <t>ELECTRICISTA III</t>
  </si>
  <si>
    <t xml:space="preserve">ENCARGADO DE CUADRILLA VIAL I </t>
  </si>
  <si>
    <t xml:space="preserve">ENCARGADO DE CUADRILLA VIAL II </t>
  </si>
  <si>
    <t>ENCARGADO DE ENGRASE</t>
  </si>
  <si>
    <t>ENCARGADO DE FARMACIA</t>
  </si>
  <si>
    <t>ENCARGADO DE TALLER MOVIL</t>
  </si>
  <si>
    <t>ENCARGADO II OPERARIO DE MAQUINARIA Y EQUIPO</t>
  </si>
  <si>
    <t>ENCARGADO I OPERARIO DE MAQUINARIA Y EQUIPO</t>
  </si>
  <si>
    <t>HERRERO I</t>
  </si>
  <si>
    <t xml:space="preserve">HERRERO II </t>
  </si>
  <si>
    <t>HERRERO III</t>
  </si>
  <si>
    <t>MAESTRO DE CAMINOS</t>
  </si>
  <si>
    <t>MAESTRO DE OBRAS</t>
  </si>
  <si>
    <t xml:space="preserve">MECANICO AUTOMOTRIZ I </t>
  </si>
  <si>
    <t>MECANICO AUTOMOTRIZ II</t>
  </si>
  <si>
    <t>MECANICO DE MAQUINARÍA</t>
  </si>
  <si>
    <t>NIVELADOR</t>
  </si>
  <si>
    <t>OPERADOR DE EQUIPO DE EST</t>
  </si>
  <si>
    <t xml:space="preserve">OPERADOR DE EQUIPO  </t>
  </si>
  <si>
    <t>OPERADOR DE MAQUINARIA</t>
  </si>
  <si>
    <t>PEÓN</t>
  </si>
  <si>
    <t>PEÓN SUPERVISOR DE VIAS</t>
  </si>
  <si>
    <t>PEÓN ENUMERADOR VIAL</t>
  </si>
  <si>
    <t>PEÓN VIGILANTE V</t>
  </si>
  <si>
    <t>PEÓN VIVANDERA</t>
  </si>
  <si>
    <t>PILOTO I VEHÍCULO PESADO</t>
  </si>
  <si>
    <t>PILOTO II VEHICULO PESADO</t>
  </si>
  <si>
    <t xml:space="preserve">PINTOR I </t>
  </si>
  <si>
    <t>PINTOR II</t>
  </si>
  <si>
    <t>SASTRE</t>
  </si>
  <si>
    <t xml:space="preserve">TAPICERO I </t>
  </si>
  <si>
    <t>TAPICERO II</t>
  </si>
  <si>
    <t>TRABAJADOR DE MANTENIMIENTO Y SUELOS</t>
  </si>
  <si>
    <t>VULCANIZADOR</t>
  </si>
  <si>
    <t>AYUDA PARA FUNERALES</t>
  </si>
  <si>
    <t>DIRECCIÓN SUPERIOR</t>
  </si>
  <si>
    <t>11130013-204-00-0101-0000-04-12-00-000-001-000-022-00007</t>
  </si>
  <si>
    <t>11130013-204-00-0101-0000-04-12-00-000-001-000-022-00005</t>
  </si>
  <si>
    <t>11130013-204-00-0101-0000-04-12-00-000-001-000-022-00004</t>
  </si>
  <si>
    <t>11130013-204-00-0101-0000-04-12-00-000-001-000-022-00006</t>
  </si>
  <si>
    <t>SUBJEFE REGIONAL DE QUETZALTENANGO</t>
  </si>
  <si>
    <t>11130013-204-00-0901-0000-04-12-00-000-001-000-021-00002</t>
  </si>
  <si>
    <t xml:space="preserve">JEFE FINANCIERO </t>
  </si>
  <si>
    <t>11130013-204-00-0101-0000-04-12-00-000-001-000-021-00008</t>
  </si>
  <si>
    <t>11130013-204-00-0101-0000-04-12-00-000-001-000-021-00009</t>
  </si>
  <si>
    <t>SERVICIOS TECNICOS EN RELACIONES PUBLICAS</t>
  </si>
  <si>
    <t>1113- 0013-204-12-00-000-001-000-029-0101-11000</t>
  </si>
  <si>
    <t xml:space="preserve">SERVICIOS TECNICOS EN ASUNTOS SECRETARIALES </t>
  </si>
  <si>
    <t>1113-0013-204-12-00-000-001-000-029-1901-11000</t>
  </si>
  <si>
    <t>SERVICIOS TECNICOS EN ASUNTOS SECRETARIALES</t>
  </si>
  <si>
    <t xml:space="preserve">SERVICIOS TECNICOS EN ASUNTOS LEGALES </t>
  </si>
  <si>
    <t>SERVICIOS TECNICOS EN ASUNTOS LEGALES</t>
  </si>
  <si>
    <t>1113-0013-204-12-00-000-001-000-029-0901-11000</t>
  </si>
  <si>
    <t>SERVICIOS TECNICOS EN MANTENIMIENTO</t>
  </si>
  <si>
    <t xml:space="preserve">SERVICIOS TECNICOS EN  MANTENIMIENTO </t>
  </si>
  <si>
    <t xml:space="preserve">SERVICIOS TECNICOS EN MANTENIMIENTO </t>
  </si>
  <si>
    <t>SERVICIOS TECNICOS EN INSPECCION DE CONTROL</t>
  </si>
  <si>
    <t xml:space="preserve">SERVICIOS TECNICOS EN APOYO LOGISTICO </t>
  </si>
  <si>
    <t xml:space="preserve">SERVICIOS PROFESIONALES EN ASESORIA ECONOMICA </t>
  </si>
  <si>
    <t>SERVICIOS TECNICOS DE PLANIFICACION</t>
  </si>
  <si>
    <t>SERVICIOS TECNICOS DE INFORMATICA</t>
  </si>
  <si>
    <t>SERVICIOS TECNICOS EN VERIFICACION DE PERMISOS</t>
  </si>
  <si>
    <t>SERVICIOS TECNICOS EN RECURSOS HUMANOS</t>
  </si>
  <si>
    <t xml:space="preserve">SERVICIOS TECNICOS EN ALMACENAMIENTO </t>
  </si>
  <si>
    <t xml:space="preserve">SERVICIOS TECNICOS FINANCIEROS Y CONTABLES </t>
  </si>
  <si>
    <t xml:space="preserve">SERVICIOS TECNICOS EN INSPECCION DE PERMISOS </t>
  </si>
  <si>
    <t xml:space="preserve">SERVICIOS TECNICOS COMO MECANICO </t>
  </si>
  <si>
    <t>PRESTASIONES Y BONOS PROFESIONALES</t>
  </si>
  <si>
    <t>TOTAL POR RENGLON</t>
  </si>
  <si>
    <t xml:space="preserve">TOTAL </t>
  </si>
  <si>
    <t xml:space="preserve">                     </t>
  </si>
  <si>
    <t xml:space="preserve">SERVICIOS TÉCNICOS EN LA UNIDAD DE REGISTRO DE PRECALIFICADOS DE OBRAS </t>
  </si>
  <si>
    <t>SERVICIOS JURIDICOS</t>
  </si>
  <si>
    <t>x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</si>
</sst>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Q&quot;#,##0.00_);\(&quot;Q&quot;#,##0.00\)"/>
    <numFmt numFmtId="8" formatCode="&quot;Q&quot;#,##0.00_);[Red]\(&quot;Q&quot;#,##0.00\)"/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* #,##0.00_-;\-* #,##0.00_-;_-* &quot;-&quot;??_-;_-@_-"/>
    <numFmt numFmtId="165" formatCode="[$Q-100A]#,##0.00"/>
    <numFmt numFmtId="166" formatCode="_-&quot;Q&quot;* #,##0.00_-;\-&quot;Q&quot;* #,##0.00_-;_-&quot;Q&quot;* &quot;-&quot;??_-;_-@_-"/>
    <numFmt numFmtId="167" formatCode="&quot;Q&quot;#,##0.00"/>
    <numFmt numFmtId="168" formatCode="_([$Q-100A]* #,##0.00_);_([$Q-100A]* \(#,##0.00\);_([$Q-100A]* &quot;-&quot;??_);_(@_)"/>
    <numFmt numFmtId="169" formatCode="#,##0;[Red]#,##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</font>
    <font>
      <b/>
      <sz val="9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sz val="10"/>
      <name val="Stylus BT"/>
      <family val="2"/>
    </font>
    <font>
      <b/>
      <sz val="10"/>
      <name val="Stylus BT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 Narrow"/>
      <family val="2"/>
    </font>
    <font>
      <sz val="10"/>
      <color theme="0"/>
      <name val="Arial"/>
      <family val="2"/>
    </font>
    <font>
      <b/>
      <sz val="10"/>
      <name val="Calibri"/>
      <family val="2"/>
    </font>
    <font>
      <sz val="10"/>
      <color indexed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44" fontId="19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>
      <alignment vertical="top"/>
    </xf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9" fillId="0" borderId="0">
      <alignment vertical="top"/>
    </xf>
    <xf numFmtId="0" fontId="1" fillId="0" borderId="0"/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2" fillId="0" borderId="0">
      <alignment vertical="top"/>
    </xf>
    <xf numFmtId="0" fontId="23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2" fillId="0" borderId="0"/>
  </cellStyleXfs>
  <cellXfs count="1019">
    <xf numFmtId="0" fontId="0" fillId="0" borderId="0" xfId="0"/>
    <xf numFmtId="44" fontId="4" fillId="0" borderId="0" xfId="1" applyNumberFormat="1" applyFont="1" applyBorder="1" applyAlignment="1">
      <alignment wrapText="1"/>
    </xf>
    <xf numFmtId="0" fontId="10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7" fillId="0" borderId="0" xfId="1" applyFont="1" applyBorder="1"/>
    <xf numFmtId="0" fontId="12" fillId="0" borderId="0" xfId="0" applyFont="1" applyBorder="1"/>
    <xf numFmtId="0" fontId="11" fillId="0" borderId="0" xfId="0" applyFont="1" applyBorder="1"/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44" fontId="11" fillId="0" borderId="1" xfId="0" applyNumberFormat="1" applyFont="1" applyBorder="1"/>
    <xf numFmtId="0" fontId="11" fillId="0" borderId="1" xfId="0" applyFont="1" applyFill="1" applyBorder="1"/>
    <xf numFmtId="44" fontId="11" fillId="0" borderId="1" xfId="0" applyNumberFormat="1" applyFont="1" applyFill="1" applyBorder="1"/>
    <xf numFmtId="0" fontId="11" fillId="0" borderId="0" xfId="0" applyFont="1" applyFill="1" applyBorder="1"/>
    <xf numFmtId="44" fontId="11" fillId="0" borderId="0" xfId="0" applyNumberFormat="1" applyFont="1" applyBorder="1"/>
    <xf numFmtId="44" fontId="12" fillId="0" borderId="1" xfId="0" applyNumberFormat="1" applyFont="1" applyFill="1" applyBorder="1"/>
    <xf numFmtId="0" fontId="11" fillId="0" borderId="0" xfId="0" applyFont="1" applyBorder="1" applyAlignment="1">
      <alignment horizontal="center"/>
    </xf>
    <xf numFmtId="164" fontId="11" fillId="0" borderId="0" xfId="0" applyNumberFormat="1" applyFont="1" applyBorder="1"/>
    <xf numFmtId="0" fontId="11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4" fontId="7" fillId="0" borderId="0" xfId="1" applyNumberFormat="1" applyFont="1" applyBorder="1"/>
    <xf numFmtId="0" fontId="11" fillId="0" borderId="16" xfId="0" applyFont="1" applyBorder="1" applyAlignment="1">
      <alignment vertical="center" wrapText="1"/>
    </xf>
    <xf numFmtId="0" fontId="13" fillId="0" borderId="0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6" fillId="0" borderId="0" xfId="0" applyFont="1" applyFill="1"/>
    <xf numFmtId="44" fontId="6" fillId="0" borderId="0" xfId="0" applyNumberFormat="1" applyFont="1" applyFill="1"/>
    <xf numFmtId="0" fontId="11" fillId="0" borderId="1" xfId="7" applyFont="1" applyFill="1" applyBorder="1" applyAlignment="1">
      <alignment wrapText="1"/>
    </xf>
    <xf numFmtId="0" fontId="11" fillId="0" borderId="1" xfId="7" applyFont="1" applyFill="1" applyBorder="1" applyAlignment="1">
      <alignment horizontal="center" vertical="center"/>
    </xf>
    <xf numFmtId="44" fontId="12" fillId="0" borderId="1" xfId="7" applyNumberFormat="1" applyFont="1" applyFill="1" applyBorder="1" applyAlignment="1">
      <alignment vertical="center"/>
    </xf>
    <xf numFmtId="44" fontId="11" fillId="0" borderId="1" xfId="7" applyNumberFormat="1" applyFont="1" applyFill="1" applyBorder="1" applyAlignment="1">
      <alignment horizontal="center" vertical="center"/>
    </xf>
    <xf numFmtId="44" fontId="11" fillId="0" borderId="4" xfId="5" applyFont="1" applyFill="1" applyBorder="1" applyAlignment="1">
      <alignment horizontal="center" vertical="center"/>
    </xf>
    <xf numFmtId="44" fontId="11" fillId="0" borderId="1" xfId="5" applyFont="1" applyFill="1" applyBorder="1" applyAlignment="1">
      <alignment horizontal="center" vertical="center"/>
    </xf>
    <xf numFmtId="0" fontId="11" fillId="0" borderId="0" xfId="0" applyFont="1" applyFill="1"/>
    <xf numFmtId="44" fontId="12" fillId="0" borderId="16" xfId="7" applyNumberFormat="1" applyFont="1" applyFill="1" applyBorder="1" applyAlignment="1">
      <alignment vertical="center"/>
    </xf>
    <xf numFmtId="165" fontId="11" fillId="0" borderId="4" xfId="9" applyNumberFormat="1" applyFont="1" applyFill="1" applyBorder="1" applyAlignment="1">
      <alignment horizontal="center" vertical="center"/>
    </xf>
    <xf numFmtId="165" fontId="11" fillId="0" borderId="4" xfId="10" applyNumberFormat="1" applyFont="1" applyFill="1" applyBorder="1" applyAlignment="1">
      <alignment horizontal="center" vertical="center"/>
    </xf>
    <xf numFmtId="8" fontId="11" fillId="0" borderId="1" xfId="12" applyNumberFormat="1" applyFont="1" applyFill="1" applyBorder="1" applyAlignment="1">
      <alignment horizontal="center" vertical="center" wrapText="1"/>
    </xf>
    <xf numFmtId="165" fontId="11" fillId="0" borderId="1" xfId="13" applyNumberFormat="1" applyFont="1" applyFill="1" applyBorder="1" applyAlignment="1">
      <alignment horizontal="center" vertical="center"/>
    </xf>
    <xf numFmtId="44" fontId="11" fillId="0" borderId="1" xfId="14" applyNumberFormat="1" applyFont="1" applyFill="1" applyBorder="1" applyAlignment="1">
      <alignment horizontal="center" vertical="center"/>
    </xf>
    <xf numFmtId="44" fontId="11" fillId="0" borderId="1" xfId="5" applyFont="1" applyFill="1" applyBorder="1"/>
    <xf numFmtId="44" fontId="11" fillId="0" borderId="4" xfId="5" applyFont="1" applyFill="1" applyBorder="1"/>
    <xf numFmtId="44" fontId="11" fillId="0" borderId="0" xfId="0" applyNumberFormat="1" applyFont="1" applyFill="1"/>
    <xf numFmtId="0" fontId="11" fillId="0" borderId="1" xfId="8" applyFont="1" applyFill="1" applyBorder="1" applyAlignment="1">
      <alignment wrapText="1"/>
    </xf>
    <xf numFmtId="44" fontId="11" fillId="0" borderId="16" xfId="14" applyNumberFormat="1" applyFont="1" applyFill="1" applyBorder="1" applyAlignment="1">
      <alignment horizontal="center" vertical="center"/>
    </xf>
    <xf numFmtId="0" fontId="11" fillId="0" borderId="16" xfId="7" applyFont="1" applyFill="1" applyBorder="1" applyAlignment="1">
      <alignment horizontal="center" vertical="center"/>
    </xf>
    <xf numFmtId="44" fontId="11" fillId="0" borderId="16" xfId="7" applyNumberFormat="1" applyFont="1" applyFill="1" applyBorder="1" applyAlignment="1">
      <alignment horizontal="center" vertical="center"/>
    </xf>
    <xf numFmtId="0" fontId="13" fillId="0" borderId="0" xfId="0" applyFont="1" applyFill="1" applyAlignment="1"/>
    <xf numFmtId="0" fontId="13" fillId="0" borderId="0" xfId="7" applyFont="1" applyFill="1" applyBorder="1" applyAlignment="1">
      <alignment horizontal="center"/>
    </xf>
    <xf numFmtId="4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5" fillId="0" borderId="0" xfId="15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5" fillId="0" borderId="0" xfId="15" applyFont="1" applyFill="1" applyBorder="1" applyAlignment="1">
      <alignment horizontal="right" vertical="center" wrapText="1"/>
    </xf>
    <xf numFmtId="0" fontId="6" fillId="0" borderId="0" xfId="0" applyFont="1" applyFill="1" applyBorder="1"/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167" fontId="11" fillId="3" borderId="1" xfId="16" applyNumberFormat="1" applyFont="1" applyFill="1" applyBorder="1" applyAlignment="1">
      <alignment horizontal="right" vertical="center" wrapText="1"/>
    </xf>
    <xf numFmtId="0" fontId="11" fillId="0" borderId="1" xfId="15" applyFont="1" applyBorder="1"/>
    <xf numFmtId="44" fontId="11" fillId="0" borderId="1" xfId="15" applyNumberFormat="1" applyFont="1" applyBorder="1"/>
    <xf numFmtId="44" fontId="11" fillId="0" borderId="1" xfId="15" applyNumberFormat="1" applyFont="1" applyFill="1" applyBorder="1" applyAlignment="1">
      <alignment horizontal="right"/>
    </xf>
    <xf numFmtId="44" fontId="11" fillId="0" borderId="1" xfId="15" applyNumberFormat="1" applyFont="1" applyBorder="1" applyAlignment="1">
      <alignment horizontal="right"/>
    </xf>
    <xf numFmtId="4" fontId="12" fillId="0" borderId="1" xfId="15" applyNumberFormat="1" applyFont="1" applyFill="1" applyBorder="1" applyAlignment="1">
      <alignment horizontal="right" vertical="center" wrapText="1"/>
    </xf>
    <xf numFmtId="0" fontId="15" fillId="0" borderId="1" xfId="15" applyFont="1" applyBorder="1" applyAlignment="1">
      <alignment horizontal="right"/>
    </xf>
    <xf numFmtId="0" fontId="12" fillId="0" borderId="1" xfId="15" applyFont="1" applyBorder="1"/>
    <xf numFmtId="0" fontId="12" fillId="0" borderId="1" xfId="15" applyFont="1" applyBorder="1" applyAlignment="1">
      <alignment horizontal="right"/>
    </xf>
    <xf numFmtId="166" fontId="12" fillId="0" borderId="1" xfId="15" applyNumberFormat="1" applyFont="1" applyFill="1" applyBorder="1" applyAlignment="1">
      <alignment horizontal="right" vertical="center" wrapText="1"/>
    </xf>
    <xf numFmtId="0" fontId="12" fillId="0" borderId="16" xfId="15" applyFont="1" applyBorder="1" applyAlignment="1">
      <alignment horizontal="right"/>
    </xf>
    <xf numFmtId="0" fontId="12" fillId="0" borderId="16" xfId="15" applyFont="1" applyBorder="1"/>
    <xf numFmtId="166" fontId="12" fillId="0" borderId="16" xfId="15" applyNumberFormat="1" applyFont="1" applyFill="1" applyBorder="1" applyAlignment="1">
      <alignment horizontal="right" vertical="center" wrapText="1"/>
    </xf>
    <xf numFmtId="0" fontId="11" fillId="3" borderId="1" xfId="15" applyFont="1" applyFill="1" applyBorder="1" applyAlignment="1">
      <alignment horizontal="center"/>
    </xf>
    <xf numFmtId="0" fontId="11" fillId="0" borderId="1" xfId="15" applyFont="1" applyBorder="1" applyAlignment="1">
      <alignment horizontal="center"/>
    </xf>
    <xf numFmtId="0" fontId="4" fillId="0" borderId="0" xfId="15" applyFont="1" applyFill="1" applyBorder="1"/>
    <xf numFmtId="0" fontId="11" fillId="0" borderId="16" xfId="15" applyFont="1" applyBorder="1" applyAlignment="1">
      <alignment horizontal="center"/>
    </xf>
    <xf numFmtId="44" fontId="14" fillId="0" borderId="21" xfId="15" applyNumberFormat="1" applyFont="1" applyBorder="1"/>
    <xf numFmtId="44" fontId="14" fillId="0" borderId="23" xfId="15" applyNumberFormat="1" applyFont="1" applyBorder="1"/>
    <xf numFmtId="0" fontId="9" fillId="0" borderId="0" xfId="7" applyFont="1"/>
    <xf numFmtId="0" fontId="6" fillId="0" borderId="0" xfId="7" applyFont="1" applyFill="1"/>
    <xf numFmtId="0" fontId="11" fillId="0" borderId="0" xfId="0" applyFont="1" applyFill="1" applyAlignment="1">
      <alignment horizontal="center"/>
    </xf>
    <xf numFmtId="0" fontId="7" fillId="0" borderId="0" xfId="7" applyFont="1" applyFill="1"/>
    <xf numFmtId="0" fontId="13" fillId="0" borderId="0" xfId="0" applyFont="1" applyFill="1" applyAlignment="1">
      <alignment horizontal="center"/>
    </xf>
    <xf numFmtId="0" fontId="6" fillId="0" borderId="0" xfId="7" applyFont="1"/>
    <xf numFmtId="0" fontId="11" fillId="3" borderId="0" xfId="0" applyFont="1" applyFill="1" applyAlignment="1">
      <alignment horizontal="center"/>
    </xf>
    <xf numFmtId="0" fontId="6" fillId="0" borderId="1" xfId="7" applyFont="1" applyFill="1" applyBorder="1" applyAlignment="1">
      <alignment horizontal="center"/>
    </xf>
    <xf numFmtId="44" fontId="6" fillId="0" borderId="1" xfId="7" applyNumberFormat="1" applyFont="1" applyBorder="1"/>
    <xf numFmtId="0" fontId="6" fillId="0" borderId="1" xfId="7" applyFont="1" applyBorder="1" applyAlignment="1">
      <alignment horizontal="center"/>
    </xf>
    <xf numFmtId="0" fontId="6" fillId="0" borderId="1" xfId="7" applyFont="1" applyBorder="1"/>
    <xf numFmtId="166" fontId="6" fillId="0" borderId="1" xfId="7" applyNumberFormat="1" applyFont="1" applyFill="1" applyBorder="1" applyAlignment="1">
      <alignment horizontal="right"/>
    </xf>
    <xf numFmtId="166" fontId="6" fillId="0" borderId="1" xfId="7" applyNumberFormat="1" applyFont="1" applyBorder="1"/>
    <xf numFmtId="166" fontId="6" fillId="0" borderId="1" xfId="7" applyNumberFormat="1" applyFont="1" applyFill="1" applyBorder="1" applyAlignment="1">
      <alignment horizontal="center"/>
    </xf>
    <xf numFmtId="166" fontId="6" fillId="0" borderId="1" xfId="7" applyNumberFormat="1" applyFont="1" applyBorder="1" applyAlignment="1">
      <alignment horizontal="right"/>
    </xf>
    <xf numFmtId="0" fontId="6" fillId="0" borderId="0" xfId="7" applyFont="1" applyAlignment="1">
      <alignment horizontal="center"/>
    </xf>
    <xf numFmtId="0" fontId="7" fillId="7" borderId="1" xfId="7" applyFont="1" applyFill="1" applyBorder="1" applyAlignment="1">
      <alignment horizontal="center" wrapText="1"/>
    </xf>
    <xf numFmtId="0" fontId="7" fillId="7" borderId="1" xfId="7" applyFont="1" applyFill="1" applyBorder="1" applyAlignment="1">
      <alignment horizontal="center"/>
    </xf>
    <xf numFmtId="0" fontId="6" fillId="0" borderId="27" xfId="7" applyFont="1" applyFill="1" applyBorder="1" applyAlignment="1">
      <alignment horizontal="center"/>
    </xf>
    <xf numFmtId="0" fontId="6" fillId="0" borderId="27" xfId="7" applyFont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6" fillId="0" borderId="16" xfId="7" applyFont="1" applyBorder="1"/>
    <xf numFmtId="166" fontId="6" fillId="0" borderId="16" xfId="7" applyNumberFormat="1" applyFont="1" applyFill="1" applyBorder="1" applyAlignment="1">
      <alignment horizontal="center"/>
    </xf>
    <xf numFmtId="166" fontId="6" fillId="0" borderId="16" xfId="7" applyNumberFormat="1" applyFont="1" applyBorder="1"/>
    <xf numFmtId="44" fontId="6" fillId="0" borderId="16" xfId="7" applyNumberFormat="1" applyFont="1" applyBorder="1"/>
    <xf numFmtId="0" fontId="8" fillId="5" borderId="16" xfId="0" applyFont="1" applyFill="1" applyBorder="1" applyAlignment="1">
      <alignment vertical="center"/>
    </xf>
    <xf numFmtId="0" fontId="6" fillId="0" borderId="28" xfId="7" applyFont="1" applyBorder="1" applyAlignment="1">
      <alignment horizontal="center"/>
    </xf>
    <xf numFmtId="166" fontId="6" fillId="0" borderId="16" xfId="7" applyNumberFormat="1" applyFont="1" applyBorder="1" applyAlignment="1">
      <alignment horizontal="right"/>
    </xf>
    <xf numFmtId="0" fontId="6" fillId="0" borderId="16" xfId="7" applyFont="1" applyFill="1" applyBorder="1" applyAlignment="1">
      <alignment horizontal="center"/>
    </xf>
    <xf numFmtId="0" fontId="7" fillId="0" borderId="21" xfId="7" applyFont="1" applyFill="1" applyBorder="1" applyAlignment="1"/>
    <xf numFmtId="0" fontId="7" fillId="0" borderId="23" xfId="7" applyFont="1" applyFill="1" applyBorder="1" applyAlignment="1">
      <alignment horizontal="center"/>
    </xf>
    <xf numFmtId="0" fontId="7" fillId="0" borderId="22" xfId="7" applyFont="1" applyFill="1" applyBorder="1" applyAlignment="1"/>
    <xf numFmtId="0" fontId="7" fillId="0" borderId="23" xfId="7" applyFont="1" applyFill="1" applyBorder="1" applyAlignment="1"/>
    <xf numFmtId="0" fontId="7" fillId="0" borderId="24" xfId="7" applyFont="1" applyFill="1" applyBorder="1" applyAlignment="1"/>
    <xf numFmtId="166" fontId="7" fillId="0" borderId="28" xfId="7" applyNumberFormat="1" applyFont="1" applyFill="1" applyBorder="1"/>
    <xf numFmtId="166" fontId="7" fillId="0" borderId="16" xfId="7" applyNumberFormat="1" applyFont="1" applyFill="1" applyBorder="1"/>
    <xf numFmtId="166" fontId="7" fillId="0" borderId="39" xfId="7" applyNumberFormat="1" applyFont="1" applyFill="1" applyBorder="1"/>
    <xf numFmtId="166" fontId="7" fillId="0" borderId="21" xfId="7" applyNumberFormat="1" applyFont="1" applyFill="1" applyBorder="1"/>
    <xf numFmtId="0" fontId="18" fillId="0" borderId="0" xfId="7" applyFont="1" applyFill="1"/>
    <xf numFmtId="0" fontId="4" fillId="0" borderId="0" xfId="17" applyFont="1" applyFill="1" applyBorder="1" applyAlignment="1" applyProtection="1">
      <alignment horizontal="left" vertical="center" wrapText="1"/>
      <protection locked="0"/>
    </xf>
    <xf numFmtId="0" fontId="4" fillId="0" borderId="0" xfId="17" applyFont="1" applyFill="1" applyBorder="1" applyAlignment="1" applyProtection="1">
      <alignment vertical="center" wrapText="1"/>
      <protection locked="0"/>
    </xf>
    <xf numFmtId="0" fontId="12" fillId="0" borderId="1" xfId="17" applyFont="1" applyFill="1" applyBorder="1" applyAlignment="1" applyProtection="1">
      <alignment horizontal="center" vertical="center"/>
      <protection locked="0"/>
    </xf>
    <xf numFmtId="44" fontId="12" fillId="0" borderId="1" xfId="21" applyFont="1" applyFill="1" applyBorder="1" applyAlignment="1" applyProtection="1">
      <alignment horizontal="center" vertical="center"/>
      <protection locked="0"/>
    </xf>
    <xf numFmtId="44" fontId="12" fillId="0" borderId="1" xfId="17" applyNumberFormat="1" applyFont="1" applyFill="1" applyBorder="1" applyAlignment="1" applyProtection="1">
      <alignment vertical="center"/>
      <protection locked="0"/>
    </xf>
    <xf numFmtId="44" fontId="12" fillId="0" borderId="1" xfId="21" applyFont="1" applyFill="1" applyBorder="1" applyAlignment="1" applyProtection="1">
      <alignment horizontal="center" vertical="center" wrapText="1"/>
      <protection locked="0"/>
    </xf>
    <xf numFmtId="44" fontId="12" fillId="0" borderId="1" xfId="3" applyFont="1" applyFill="1" applyBorder="1" applyAlignment="1" applyProtection="1">
      <alignment horizontal="center" vertical="center" wrapText="1"/>
      <protection locked="0"/>
    </xf>
    <xf numFmtId="0" fontId="12" fillId="0" borderId="1" xfId="17" applyFont="1" applyFill="1" applyBorder="1" applyAlignment="1" applyProtection="1">
      <alignment vertical="center"/>
      <protection locked="0"/>
    </xf>
    <xf numFmtId="44" fontId="12" fillId="0" borderId="1" xfId="3" applyFont="1" applyFill="1" applyBorder="1" applyAlignment="1" applyProtection="1">
      <alignment horizontal="center" vertical="center"/>
      <protection locked="0"/>
    </xf>
    <xf numFmtId="0" fontId="12" fillId="0" borderId="0" xfId="17" applyFont="1"/>
    <xf numFmtId="44" fontId="12" fillId="0" borderId="0" xfId="17" applyNumberFormat="1" applyFont="1" applyFill="1" applyBorder="1"/>
    <xf numFmtId="0" fontId="6" fillId="0" borderId="0" xfId="0" applyFont="1" applyBorder="1"/>
    <xf numFmtId="0" fontId="3" fillId="0" borderId="0" xfId="17" applyFont="1" applyFill="1" applyBorder="1" applyProtection="1">
      <protection locked="0"/>
    </xf>
    <xf numFmtId="0" fontId="7" fillId="0" borderId="0" xfId="0" applyFont="1" applyBorder="1" applyAlignment="1">
      <alignment horizontal="left" vertical="center"/>
    </xf>
    <xf numFmtId="0" fontId="12" fillId="0" borderId="0" xfId="17" applyFont="1" applyAlignment="1">
      <alignment horizontal="left"/>
    </xf>
    <xf numFmtId="0" fontId="11" fillId="0" borderId="0" xfId="0" applyFont="1" applyAlignment="1">
      <alignment horizontal="left"/>
    </xf>
    <xf numFmtId="44" fontId="12" fillId="0" borderId="0" xfId="24" applyFont="1"/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44" fontId="12" fillId="0" borderId="1" xfId="24" applyFont="1" applyFill="1" applyBorder="1" applyAlignment="1">
      <alignment horizontal="center"/>
    </xf>
    <xf numFmtId="44" fontId="12" fillId="0" borderId="1" xfId="24" applyNumberFormat="1" applyFont="1" applyFill="1" applyBorder="1"/>
    <xf numFmtId="168" fontId="12" fillId="0" borderId="1" xfId="24" applyNumberFormat="1" applyFont="1" applyFill="1" applyBorder="1"/>
    <xf numFmtId="44" fontId="12" fillId="0" borderId="1" xfId="24" applyFont="1" applyFill="1" applyBorder="1"/>
    <xf numFmtId="44" fontId="12" fillId="0" borderId="1" xfId="24" applyFont="1" applyBorder="1"/>
    <xf numFmtId="0" fontId="11" fillId="0" borderId="5" xfId="0" applyFont="1" applyBorder="1" applyAlignment="1">
      <alignment vertical="center" wrapText="1"/>
    </xf>
    <xf numFmtId="44" fontId="12" fillId="0" borderId="9" xfId="24" applyFont="1" applyBorder="1"/>
    <xf numFmtId="44" fontId="12" fillId="0" borderId="9" xfId="24" applyFont="1" applyFill="1" applyBorder="1"/>
    <xf numFmtId="0" fontId="11" fillId="0" borderId="8" xfId="0" applyFont="1" applyBorder="1" applyAlignment="1">
      <alignment vertical="center" wrapText="1"/>
    </xf>
    <xf numFmtId="168" fontId="12" fillId="0" borderId="9" xfId="24" applyNumberFormat="1" applyFont="1" applyFill="1" applyBorder="1"/>
    <xf numFmtId="44" fontId="11" fillId="0" borderId="1" xfId="24" applyFont="1" applyFill="1" applyBorder="1" applyAlignment="1">
      <alignment horizontal="center"/>
    </xf>
    <xf numFmtId="44" fontId="11" fillId="0" borderId="9" xfId="24" applyFont="1" applyFill="1" applyBorder="1" applyAlignment="1">
      <alignment horizontal="center"/>
    </xf>
    <xf numFmtId="0" fontId="21" fillId="0" borderId="0" xfId="0" applyFont="1"/>
    <xf numFmtId="0" fontId="20" fillId="0" borderId="0" xfId="0" applyFont="1"/>
    <xf numFmtId="0" fontId="21" fillId="0" borderId="0" xfId="0" applyFont="1" applyFill="1"/>
    <xf numFmtId="0" fontId="4" fillId="0" borderId="0" xfId="18" applyFont="1" applyBorder="1"/>
    <xf numFmtId="0" fontId="11" fillId="3" borderId="4" xfId="18" applyFont="1" applyFill="1" applyBorder="1" applyAlignment="1">
      <alignment horizontal="center"/>
    </xf>
    <xf numFmtId="167" fontId="11" fillId="0" borderId="1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6" fillId="0" borderId="0" xfId="4" applyFont="1"/>
    <xf numFmtId="43" fontId="6" fillId="0" borderId="0" xfId="4" applyFont="1" applyFill="1" applyBorder="1"/>
    <xf numFmtId="43" fontId="6" fillId="0" borderId="0" xfId="0" applyNumberFormat="1" applyFont="1"/>
    <xf numFmtId="43" fontId="6" fillId="0" borderId="0" xfId="0" applyNumberFormat="1" applyFont="1" applyFill="1" applyBorder="1"/>
    <xf numFmtId="0" fontId="25" fillId="0" borderId="0" xfId="0" applyFont="1" applyFill="1" applyBorder="1" applyAlignment="1">
      <alignment horizontal="center"/>
    </xf>
    <xf numFmtId="40" fontId="6" fillId="0" borderId="0" xfId="0" applyNumberFormat="1" applyFont="1"/>
    <xf numFmtId="43" fontId="6" fillId="0" borderId="0" xfId="4" applyFont="1" applyFill="1"/>
    <xf numFmtId="43" fontId="6" fillId="0" borderId="0" xfId="0" applyNumberFormat="1" applyFont="1" applyFill="1"/>
    <xf numFmtId="43" fontId="6" fillId="0" borderId="0" xfId="4" applyFont="1" applyBorder="1"/>
    <xf numFmtId="43" fontId="6" fillId="0" borderId="0" xfId="0" applyNumberFormat="1" applyFont="1" applyBorder="1"/>
    <xf numFmtId="43" fontId="11" fillId="0" borderId="0" xfId="4" applyFont="1" applyFill="1" applyBorder="1"/>
    <xf numFmtId="43" fontId="11" fillId="0" borderId="0" xfId="0" applyNumberFormat="1" applyFont="1"/>
    <xf numFmtId="44" fontId="11" fillId="0" borderId="0" xfId="0" applyNumberFormat="1" applyFont="1"/>
    <xf numFmtId="44" fontId="11" fillId="0" borderId="0" xfId="0" applyNumberFormat="1" applyFont="1" applyFill="1" applyBorder="1"/>
    <xf numFmtId="0" fontId="2" fillId="0" borderId="0" xfId="0" applyFont="1"/>
    <xf numFmtId="0" fontId="12" fillId="0" borderId="1" xfId="0" applyFont="1" applyFill="1" applyBorder="1" applyAlignment="1">
      <alignment horizontal="center"/>
    </xf>
    <xf numFmtId="0" fontId="13" fillId="0" borderId="0" xfId="0" applyFont="1" applyFill="1"/>
    <xf numFmtId="49" fontId="5" fillId="4" borderId="9" xfId="1" applyNumberFormat="1" applyFont="1" applyFill="1" applyBorder="1" applyAlignment="1">
      <alignment horizontal="center" vertical="center"/>
    </xf>
    <xf numFmtId="49" fontId="5" fillId="4" borderId="10" xfId="1" applyNumberFormat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44" fontId="12" fillId="0" borderId="4" xfId="1" applyNumberFormat="1" applyFont="1" applyBorder="1" applyAlignment="1">
      <alignment vertical="center"/>
    </xf>
    <xf numFmtId="0" fontId="12" fillId="0" borderId="4" xfId="1" applyFont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44" fontId="12" fillId="0" borderId="1" xfId="1" applyNumberFormat="1" applyFont="1" applyBorder="1" applyAlignment="1">
      <alignment vertical="center"/>
    </xf>
    <xf numFmtId="0" fontId="12" fillId="0" borderId="1" xfId="1" applyFont="1" applyBorder="1" applyAlignment="1">
      <alignment vertical="center"/>
    </xf>
    <xf numFmtId="168" fontId="12" fillId="8" borderId="1" xfId="1" applyNumberFormat="1" applyFont="1" applyFill="1" applyBorder="1" applyAlignment="1">
      <alignment horizontal="center" vertical="center"/>
    </xf>
    <xf numFmtId="8" fontId="12" fillId="0" borderId="0" xfId="1" applyNumberFormat="1" applyFont="1" applyAlignment="1">
      <alignment vertical="center"/>
    </xf>
    <xf numFmtId="0" fontId="12" fillId="0" borderId="28" xfId="1" applyFont="1" applyBorder="1" applyAlignment="1">
      <alignment horizontal="center" vertical="center"/>
    </xf>
    <xf numFmtId="168" fontId="12" fillId="8" borderId="16" xfId="1" applyNumberFormat="1" applyFont="1" applyFill="1" applyBorder="1" applyAlignment="1">
      <alignment horizontal="center" vertical="center"/>
    </xf>
    <xf numFmtId="0" fontId="12" fillId="0" borderId="16" xfId="1" applyFont="1" applyBorder="1" applyAlignment="1">
      <alignment vertical="center"/>
    </xf>
    <xf numFmtId="44" fontId="12" fillId="0" borderId="16" xfId="1" applyNumberFormat="1" applyFont="1" applyBorder="1" applyAlignment="1">
      <alignment vertical="center"/>
    </xf>
    <xf numFmtId="44" fontId="14" fillId="0" borderId="7" xfId="1" applyNumberFormat="1" applyFont="1" applyFill="1" applyBorder="1" applyAlignment="1">
      <alignment vertical="center"/>
    </xf>
    <xf numFmtId="44" fontId="14" fillId="0" borderId="3" xfId="1" applyNumberFormat="1" applyFont="1" applyFill="1" applyBorder="1" applyAlignment="1">
      <alignment vertical="center"/>
    </xf>
    <xf numFmtId="0" fontId="15" fillId="0" borderId="22" xfId="1" applyFont="1" applyFill="1" applyBorder="1" applyAlignment="1">
      <alignment vertical="center"/>
    </xf>
    <xf numFmtId="0" fontId="15" fillId="0" borderId="21" xfId="1" applyFont="1" applyFill="1" applyBorder="1" applyAlignment="1">
      <alignment vertical="center"/>
    </xf>
    <xf numFmtId="44" fontId="14" fillId="0" borderId="48" xfId="1" applyNumberFormat="1" applyFont="1" applyFill="1" applyBorder="1" applyAlignment="1">
      <alignment vertical="center"/>
    </xf>
    <xf numFmtId="0" fontId="15" fillId="0" borderId="24" xfId="1" applyFont="1" applyFill="1" applyBorder="1" applyAlignment="1">
      <alignment vertical="center"/>
    </xf>
    <xf numFmtId="0" fontId="15" fillId="0" borderId="23" xfId="1" applyFont="1" applyFill="1" applyBorder="1" applyAlignment="1">
      <alignment horizontal="center" vertical="center"/>
    </xf>
    <xf numFmtId="0" fontId="20" fillId="0" borderId="0" xfId="0" applyFont="1" applyFill="1"/>
    <xf numFmtId="0" fontId="5" fillId="0" borderId="0" xfId="15" applyFont="1" applyBorder="1" applyAlignment="1">
      <alignment horizontal="left" vertical="center" wrapText="1"/>
    </xf>
    <xf numFmtId="0" fontId="2" fillId="0" borderId="0" xfId="15" applyFont="1" applyBorder="1"/>
    <xf numFmtId="0" fontId="2" fillId="0" borderId="0" xfId="15" applyFont="1" applyBorder="1" applyAlignment="1">
      <alignment horizontal="right"/>
    </xf>
    <xf numFmtId="168" fontId="12" fillId="0" borderId="32" xfId="24" applyNumberFormat="1" applyFont="1" applyFill="1" applyBorder="1"/>
    <xf numFmtId="44" fontId="12" fillId="0" borderId="32" xfId="24" applyFont="1" applyFill="1" applyBorder="1"/>
    <xf numFmtId="168" fontId="12" fillId="0" borderId="46" xfId="24" applyNumberFormat="1" applyFont="1" applyFill="1" applyBorder="1"/>
    <xf numFmtId="168" fontId="12" fillId="0" borderId="14" xfId="24" applyNumberFormat="1" applyFont="1" applyFill="1" applyBorder="1"/>
    <xf numFmtId="44" fontId="12" fillId="0" borderId="14" xfId="24" applyFont="1" applyFill="1" applyBorder="1"/>
    <xf numFmtId="168" fontId="12" fillId="0" borderId="10" xfId="24" applyNumberFormat="1" applyFont="1" applyFill="1" applyBorder="1"/>
    <xf numFmtId="169" fontId="2" fillId="0" borderId="0" xfId="15" applyNumberFormat="1" applyFont="1" applyBorder="1" applyAlignment="1">
      <alignment horizontal="center" vertical="center"/>
    </xf>
    <xf numFmtId="0" fontId="2" fillId="0" borderId="0" xfId="15" applyFont="1" applyFill="1" applyBorder="1" applyAlignment="1">
      <alignment horizontal="right"/>
    </xf>
    <xf numFmtId="0" fontId="2" fillId="0" borderId="0" xfId="15" applyFont="1"/>
    <xf numFmtId="169" fontId="11" fillId="3" borderId="1" xfId="16" applyNumberFormat="1" applyFont="1" applyFill="1" applyBorder="1" applyAlignment="1">
      <alignment horizontal="center" vertical="center" wrapText="1"/>
    </xf>
    <xf numFmtId="44" fontId="11" fillId="0" borderId="50" xfId="15" applyNumberFormat="1" applyFont="1" applyBorder="1"/>
    <xf numFmtId="0" fontId="12" fillId="0" borderId="50" xfId="15" applyFont="1" applyBorder="1"/>
    <xf numFmtId="0" fontId="12" fillId="0" borderId="51" xfId="15" applyFont="1" applyBorder="1"/>
    <xf numFmtId="0" fontId="5" fillId="7" borderId="16" xfId="15" applyFont="1" applyFill="1" applyBorder="1" applyAlignment="1">
      <alignment horizontal="center" vertical="center"/>
    </xf>
    <xf numFmtId="0" fontId="5" fillId="7" borderId="17" xfId="15" applyFont="1" applyFill="1" applyBorder="1" applyAlignment="1">
      <alignment horizontal="center" vertical="center"/>
    </xf>
    <xf numFmtId="166" fontId="12" fillId="0" borderId="1" xfId="15" applyNumberFormat="1" applyFont="1" applyBorder="1"/>
    <xf numFmtId="44" fontId="12" fillId="0" borderId="0" xfId="15" applyNumberFormat="1" applyFont="1"/>
    <xf numFmtId="44" fontId="14" fillId="0" borderId="0" xfId="15" applyNumberFormat="1" applyFont="1"/>
    <xf numFmtId="0" fontId="11" fillId="0" borderId="0" xfId="15" applyFont="1" applyFill="1" applyBorder="1"/>
    <xf numFmtId="0" fontId="12" fillId="0" borderId="0" xfId="15" applyFont="1"/>
    <xf numFmtId="0" fontId="12" fillId="0" borderId="0" xfId="15" applyFont="1" applyAlignment="1">
      <alignment horizontal="right"/>
    </xf>
    <xf numFmtId="169" fontId="12" fillId="0" borderId="0" xfId="15" applyNumberFormat="1" applyFont="1" applyAlignment="1">
      <alignment horizontal="center" vertical="center"/>
    </xf>
    <xf numFmtId="0" fontId="12" fillId="0" borderId="0" xfId="15" applyFont="1" applyFill="1" applyAlignment="1">
      <alignment horizontal="right"/>
    </xf>
    <xf numFmtId="0" fontId="13" fillId="0" borderId="0" xfId="0" applyFont="1"/>
    <xf numFmtId="169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169" fontId="11" fillId="3" borderId="16" xfId="16" applyNumberFormat="1" applyFont="1" applyFill="1" applyBorder="1" applyAlignment="1">
      <alignment horizontal="center" vertical="center" wrapText="1"/>
    </xf>
    <xf numFmtId="166" fontId="12" fillId="0" borderId="16" xfId="15" applyNumberFormat="1" applyFont="1" applyBorder="1"/>
    <xf numFmtId="0" fontId="11" fillId="0" borderId="16" xfId="15" applyFont="1" applyBorder="1"/>
    <xf numFmtId="0" fontId="11" fillId="0" borderId="16" xfId="0" applyFont="1" applyBorder="1"/>
    <xf numFmtId="0" fontId="13" fillId="0" borderId="18" xfId="0" applyFont="1" applyBorder="1" applyAlignment="1">
      <alignment vertical="center" wrapText="1"/>
    </xf>
    <xf numFmtId="0" fontId="13" fillId="0" borderId="20" xfId="15" applyFont="1" applyBorder="1" applyAlignment="1">
      <alignment horizontal="center"/>
    </xf>
    <xf numFmtId="166" fontId="6" fillId="0" borderId="0" xfId="0" applyNumberFormat="1" applyFont="1"/>
    <xf numFmtId="0" fontId="2" fillId="0" borderId="0" xfId="1" applyFont="1" applyBorder="1"/>
    <xf numFmtId="44" fontId="2" fillId="0" borderId="0" xfId="1" applyNumberFormat="1" applyFont="1" applyBorder="1"/>
    <xf numFmtId="0" fontId="11" fillId="0" borderId="16" xfId="7" applyFont="1" applyFill="1" applyBorder="1" applyAlignment="1">
      <alignment wrapText="1"/>
    </xf>
    <xf numFmtId="44" fontId="11" fillId="0" borderId="16" xfId="5" applyFont="1" applyFill="1" applyBorder="1" applyAlignment="1">
      <alignment horizontal="center" vertical="center"/>
    </xf>
    <xf numFmtId="44" fontId="11" fillId="0" borderId="44" xfId="5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4" xfId="0" applyFont="1" applyFill="1" applyBorder="1"/>
    <xf numFmtId="0" fontId="12" fillId="0" borderId="1" xfId="0" applyFont="1" applyBorder="1" applyAlignment="1">
      <alignment horizontal="center"/>
    </xf>
    <xf numFmtId="167" fontId="6" fillId="0" borderId="0" xfId="0" applyNumberFormat="1" applyFont="1" applyBorder="1"/>
    <xf numFmtId="167" fontId="0" fillId="0" borderId="0" xfId="0" applyNumberFormat="1"/>
    <xf numFmtId="167" fontId="11" fillId="0" borderId="1" xfId="0" applyNumberFormat="1" applyFont="1" applyBorder="1" applyAlignment="1">
      <alignment horizontal="right" vertical="top"/>
    </xf>
    <xf numFmtId="167" fontId="10" fillId="0" borderId="1" xfId="0" applyNumberFormat="1" applyFont="1" applyBorder="1" applyAlignment="1">
      <alignment vertical="top"/>
    </xf>
    <xf numFmtId="167" fontId="10" fillId="0" borderId="1" xfId="4" applyNumberFormat="1" applyFont="1" applyBorder="1" applyAlignment="1">
      <alignment vertical="top"/>
    </xf>
    <xf numFmtId="167" fontId="0" fillId="0" borderId="1" xfId="0" applyNumberFormat="1" applyBorder="1"/>
    <xf numFmtId="167" fontId="10" fillId="0" borderId="1" xfId="0" applyNumberFormat="1" applyFont="1" applyBorder="1" applyAlignment="1">
      <alignment horizontal="right"/>
    </xf>
    <xf numFmtId="0" fontId="10" fillId="0" borderId="13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0" fillId="0" borderId="9" xfId="0" applyFont="1" applyBorder="1" applyAlignment="1">
      <alignment horizontal="center" vertical="top"/>
    </xf>
    <xf numFmtId="167" fontId="11" fillId="0" borderId="9" xfId="0" applyNumberFormat="1" applyFont="1" applyBorder="1" applyAlignment="1">
      <alignment horizontal="right" vertical="top"/>
    </xf>
    <xf numFmtId="0" fontId="10" fillId="0" borderId="9" xfId="0" applyFont="1" applyBorder="1" applyAlignment="1">
      <alignment horizontal="center" vertical="center"/>
    </xf>
    <xf numFmtId="167" fontId="10" fillId="0" borderId="9" xfId="0" applyNumberFormat="1" applyFont="1" applyBorder="1" applyAlignment="1">
      <alignment vertical="top"/>
    </xf>
    <xf numFmtId="167" fontId="10" fillId="0" borderId="9" xfId="4" applyNumberFormat="1" applyFont="1" applyBorder="1" applyAlignment="1">
      <alignment vertical="top"/>
    </xf>
    <xf numFmtId="167" fontId="11" fillId="0" borderId="9" xfId="0" applyNumberFormat="1" applyFont="1" applyBorder="1" applyAlignment="1">
      <alignment horizontal="right"/>
    </xf>
    <xf numFmtId="0" fontId="17" fillId="0" borderId="25" xfId="0" applyFont="1" applyBorder="1" applyAlignment="1">
      <alignment horizontal="right" vertical="top"/>
    </xf>
    <xf numFmtId="0" fontId="17" fillId="0" borderId="25" xfId="0" applyFont="1" applyBorder="1" applyAlignment="1">
      <alignment horizontal="center" vertical="top"/>
    </xf>
    <xf numFmtId="167" fontId="10" fillId="0" borderId="36" xfId="0" applyNumberFormat="1" applyFont="1" applyBorder="1" applyAlignment="1">
      <alignment horizontal="right" vertical="top"/>
    </xf>
    <xf numFmtId="0" fontId="10" fillId="0" borderId="2" xfId="0" applyFont="1" applyBorder="1" applyAlignment="1">
      <alignment horizontal="right" vertical="top"/>
    </xf>
    <xf numFmtId="167" fontId="17" fillId="0" borderId="36" xfId="0" applyNumberFormat="1" applyFont="1" applyBorder="1" applyAlignment="1">
      <alignment horizontal="right" vertical="top"/>
    </xf>
    <xf numFmtId="167" fontId="17" fillId="0" borderId="25" xfId="0" applyNumberFormat="1" applyFont="1" applyBorder="1" applyAlignment="1">
      <alignment horizontal="right" vertical="top"/>
    </xf>
    <xf numFmtId="167" fontId="17" fillId="0" borderId="2" xfId="0" applyNumberFormat="1" applyFont="1" applyBorder="1" applyAlignment="1">
      <alignment horizontal="right" vertical="top"/>
    </xf>
    <xf numFmtId="167" fontId="17" fillId="0" borderId="37" xfId="4" applyNumberFormat="1" applyFont="1" applyBorder="1" applyAlignment="1">
      <alignment horizontal="right" vertical="top"/>
    </xf>
    <xf numFmtId="167" fontId="13" fillId="0" borderId="54" xfId="0" applyNumberFormat="1" applyFont="1" applyBorder="1" applyAlignment="1">
      <alignment horizontal="right" vertical="top"/>
    </xf>
    <xf numFmtId="0" fontId="0" fillId="3" borderId="1" xfId="0" applyFill="1" applyBorder="1"/>
    <xf numFmtId="0" fontId="0" fillId="0" borderId="0" xfId="0" applyBorder="1"/>
    <xf numFmtId="0" fontId="20" fillId="0" borderId="0" xfId="0" applyFont="1" applyBorder="1"/>
    <xf numFmtId="0" fontId="11" fillId="3" borderId="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left" vertical="top" wrapText="1"/>
    </xf>
    <xf numFmtId="0" fontId="11" fillId="3" borderId="27" xfId="0" applyFont="1" applyFill="1" applyBorder="1" applyAlignment="1">
      <alignment horizontal="center"/>
    </xf>
    <xf numFmtId="0" fontId="10" fillId="5" borderId="5" xfId="0" applyFont="1" applyFill="1" applyBorder="1" applyAlignment="1">
      <alignment vertical="center"/>
    </xf>
    <xf numFmtId="0" fontId="11" fillId="3" borderId="5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5" borderId="13" xfId="0" applyFont="1" applyFill="1" applyBorder="1" applyAlignment="1">
      <alignment vertical="center"/>
    </xf>
    <xf numFmtId="0" fontId="13" fillId="3" borderId="15" xfId="0" applyFont="1" applyFill="1" applyBorder="1" applyAlignment="1">
      <alignment horizontal="left"/>
    </xf>
    <xf numFmtId="0" fontId="11" fillId="3" borderId="16" xfId="0" applyFont="1" applyFill="1" applyBorder="1" applyAlignment="1">
      <alignment horizontal="center"/>
    </xf>
    <xf numFmtId="8" fontId="13" fillId="3" borderId="19" xfId="0" applyNumberFormat="1" applyFont="1" applyFill="1" applyBorder="1" applyAlignment="1">
      <alignment horizontal="right"/>
    </xf>
    <xf numFmtId="8" fontId="13" fillId="3" borderId="19" xfId="0" applyNumberFormat="1" applyFont="1" applyFill="1" applyBorder="1" applyAlignment="1">
      <alignment horizontal="right" vertical="center" wrapText="1"/>
    </xf>
    <xf numFmtId="8" fontId="13" fillId="3" borderId="29" xfId="0" applyNumberFormat="1" applyFont="1" applyFill="1" applyBorder="1" applyAlignment="1">
      <alignment horizontal="right" vertical="top" wrapText="1"/>
    </xf>
    <xf numFmtId="8" fontId="11" fillId="3" borderId="6" xfId="0" applyNumberFormat="1" applyFont="1" applyFill="1" applyBorder="1" applyAlignment="1">
      <alignment horizontal="right"/>
    </xf>
    <xf numFmtId="8" fontId="11" fillId="3" borderId="1" xfId="0" applyNumberFormat="1" applyFont="1" applyFill="1" applyBorder="1" applyAlignment="1">
      <alignment horizontal="right"/>
    </xf>
    <xf numFmtId="0" fontId="11" fillId="3" borderId="6" xfId="0" applyFont="1" applyFill="1" applyBorder="1" applyAlignment="1">
      <alignment horizontal="right"/>
    </xf>
    <xf numFmtId="0" fontId="11" fillId="3" borderId="7" xfId="0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0" fontId="11" fillId="3" borderId="1" xfId="0" applyFont="1" applyFill="1" applyBorder="1" applyAlignment="1">
      <alignment horizontal="right"/>
    </xf>
    <xf numFmtId="0" fontId="11" fillId="3" borderId="14" xfId="0" applyFont="1" applyFill="1" applyBorder="1" applyAlignment="1">
      <alignment horizontal="right"/>
    </xf>
    <xf numFmtId="8" fontId="11" fillId="3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/>
    </xf>
    <xf numFmtId="8" fontId="11" fillId="3" borderId="14" xfId="0" applyNumberFormat="1" applyFont="1" applyFill="1" applyBorder="1" applyAlignment="1">
      <alignment horizontal="right" vertical="top" wrapText="1"/>
    </xf>
    <xf numFmtId="0" fontId="21" fillId="0" borderId="0" xfId="0" applyFont="1" applyAlignment="1">
      <alignment horizontal="right"/>
    </xf>
    <xf numFmtId="0" fontId="11" fillId="3" borderId="16" xfId="0" applyFont="1" applyFill="1" applyBorder="1" applyAlignment="1">
      <alignment horizontal="right"/>
    </xf>
    <xf numFmtId="8" fontId="11" fillId="3" borderId="16" xfId="0" applyNumberFormat="1" applyFont="1" applyFill="1" applyBorder="1" applyAlignment="1">
      <alignment horizontal="right"/>
    </xf>
    <xf numFmtId="0" fontId="21" fillId="3" borderId="16" xfId="0" applyFont="1" applyFill="1" applyBorder="1" applyAlignment="1">
      <alignment horizontal="right"/>
    </xf>
    <xf numFmtId="0" fontId="21" fillId="3" borderId="17" xfId="0" applyFont="1" applyFill="1" applyBorder="1" applyAlignment="1">
      <alignment horizontal="right"/>
    </xf>
    <xf numFmtId="0" fontId="13" fillId="0" borderId="18" xfId="7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44" fontId="13" fillId="0" borderId="19" xfId="0" applyNumberFormat="1" applyFont="1" applyFill="1" applyBorder="1"/>
    <xf numFmtId="0" fontId="13" fillId="0" borderId="19" xfId="0" applyFont="1" applyFill="1" applyBorder="1"/>
    <xf numFmtId="44" fontId="13" fillId="0" borderId="24" xfId="5" applyFont="1" applyFill="1" applyBorder="1"/>
    <xf numFmtId="44" fontId="13" fillId="0" borderId="33" xfId="5" applyFont="1" applyFill="1" applyBorder="1"/>
    <xf numFmtId="44" fontId="13" fillId="0" borderId="20" xfId="5" applyFont="1" applyFill="1" applyBorder="1"/>
    <xf numFmtId="44" fontId="13" fillId="0" borderId="21" xfId="5" applyFont="1" applyFill="1" applyBorder="1"/>
    <xf numFmtId="44" fontId="13" fillId="0" borderId="23" xfId="5" applyFont="1" applyFill="1" applyBorder="1"/>
    <xf numFmtId="8" fontId="13" fillId="0" borderId="0" xfId="0" applyNumberFormat="1" applyFont="1" applyBorder="1" applyAlignment="1"/>
    <xf numFmtId="0" fontId="6" fillId="0" borderId="1" xfId="0" applyFont="1" applyBorder="1" applyAlignment="1">
      <alignment horizontal="center"/>
    </xf>
    <xf numFmtId="44" fontId="6" fillId="0" borderId="1" xfId="0" applyNumberFormat="1" applyFont="1" applyBorder="1"/>
    <xf numFmtId="0" fontId="6" fillId="0" borderId="1" xfId="0" applyFont="1" applyFill="1" applyBorder="1"/>
    <xf numFmtId="44" fontId="6" fillId="3" borderId="1" xfId="4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0" fontId="0" fillId="0" borderId="1" xfId="0" applyFill="1" applyBorder="1"/>
    <xf numFmtId="0" fontId="12" fillId="0" borderId="6" xfId="0" applyFont="1" applyBorder="1" applyAlignment="1">
      <alignment horizontal="center"/>
    </xf>
    <xf numFmtId="44" fontId="11" fillId="0" borderId="6" xfId="0" applyNumberFormat="1" applyFont="1" applyBorder="1"/>
    <xf numFmtId="0" fontId="11" fillId="0" borderId="6" xfId="0" applyFont="1" applyFill="1" applyBorder="1"/>
    <xf numFmtId="0" fontId="11" fillId="0" borderId="7" xfId="0" applyFont="1" applyBorder="1"/>
    <xf numFmtId="0" fontId="11" fillId="0" borderId="14" xfId="0" applyFont="1" applyBorder="1"/>
    <xf numFmtId="164" fontId="11" fillId="0" borderId="14" xfId="0" applyNumberFormat="1" applyFont="1" applyFill="1" applyBorder="1"/>
    <xf numFmtId="44" fontId="11" fillId="0" borderId="14" xfId="0" applyNumberFormat="1" applyFont="1" applyBorder="1"/>
    <xf numFmtId="0" fontId="0" fillId="0" borderId="14" xfId="0" applyBorder="1"/>
    <xf numFmtId="0" fontId="6" fillId="0" borderId="16" xfId="0" applyFont="1" applyBorder="1" applyAlignment="1">
      <alignment horizontal="center"/>
    </xf>
    <xf numFmtId="44" fontId="6" fillId="0" borderId="16" xfId="0" applyNumberFormat="1" applyFont="1" applyBorder="1"/>
    <xf numFmtId="0" fontId="6" fillId="0" borderId="16" xfId="0" applyFont="1" applyFill="1" applyBorder="1"/>
    <xf numFmtId="0" fontId="0" fillId="0" borderId="16" xfId="0" applyBorder="1"/>
    <xf numFmtId="44" fontId="6" fillId="3" borderId="16" xfId="4" applyNumberFormat="1" applyFont="1" applyFill="1" applyBorder="1" applyAlignment="1">
      <alignment vertical="center"/>
    </xf>
    <xf numFmtId="44" fontId="6" fillId="3" borderId="17" xfId="4" applyNumberFormat="1" applyFont="1" applyFill="1" applyBorder="1" applyAlignment="1">
      <alignment vertic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19" xfId="0" applyFont="1" applyBorder="1"/>
    <xf numFmtId="44" fontId="13" fillId="0" borderId="19" xfId="0" applyNumberFormat="1" applyFont="1" applyBorder="1"/>
    <xf numFmtId="44" fontId="13" fillId="3" borderId="19" xfId="4" applyNumberFormat="1" applyFont="1" applyFill="1" applyBorder="1" applyAlignment="1">
      <alignment vertical="center"/>
    </xf>
    <xf numFmtId="44" fontId="13" fillId="3" borderId="29" xfId="4" applyNumberFormat="1" applyFont="1" applyFill="1" applyBorder="1" applyAlignment="1">
      <alignment vertical="center"/>
    </xf>
    <xf numFmtId="0" fontId="12" fillId="3" borderId="13" xfId="0" applyFont="1" applyFill="1" applyBorder="1" applyAlignment="1">
      <alignment vertical="center" wrapText="1"/>
    </xf>
    <xf numFmtId="0" fontId="11" fillId="0" borderId="13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0" fillId="0" borderId="1" xfId="0" applyFont="1" applyFill="1" applyBorder="1" applyAlignment="1">
      <alignment vertical="center" wrapText="1"/>
    </xf>
    <xf numFmtId="7" fontId="6" fillId="3" borderId="1" xfId="2" applyNumberFormat="1" applyFont="1" applyFill="1" applyBorder="1" applyAlignment="1">
      <alignment horizontal="right" vertical="center" wrapText="1"/>
    </xf>
    <xf numFmtId="0" fontId="15" fillId="0" borderId="38" xfId="0" applyFont="1" applyFill="1" applyBorder="1" applyAlignment="1"/>
    <xf numFmtId="0" fontId="15" fillId="0" borderId="38" xfId="0" applyFont="1" applyFill="1" applyBorder="1" applyAlignment="1">
      <alignment horizontal="center"/>
    </xf>
    <xf numFmtId="0" fontId="15" fillId="0" borderId="34" xfId="0" applyFont="1" applyFill="1" applyBorder="1" applyAlignment="1"/>
    <xf numFmtId="0" fontId="15" fillId="0" borderId="35" xfId="0" applyFont="1" applyFill="1" applyBorder="1" applyAlignment="1">
      <alignment horizontal="center"/>
    </xf>
    <xf numFmtId="44" fontId="13" fillId="0" borderId="38" xfId="0" applyNumberFormat="1" applyFont="1" applyFill="1" applyBorder="1"/>
    <xf numFmtId="44" fontId="13" fillId="0" borderId="58" xfId="0" applyNumberFormat="1" applyFont="1" applyFill="1" applyBorder="1"/>
    <xf numFmtId="7" fontId="7" fillId="3" borderId="16" xfId="2" applyNumberFormat="1" applyFont="1" applyFill="1" applyBorder="1" applyAlignment="1">
      <alignment horizontal="right" vertical="center" wrapText="1"/>
    </xf>
    <xf numFmtId="0" fontId="29" fillId="7" borderId="19" xfId="0" applyFont="1" applyFill="1" applyBorder="1"/>
    <xf numFmtId="0" fontId="10" fillId="3" borderId="1" xfId="0" applyFont="1" applyFill="1" applyBorder="1" applyAlignment="1">
      <alignment horizontal="left" vertical="center" wrapText="1"/>
    </xf>
    <xf numFmtId="0" fontId="2" fillId="0" borderId="0" xfId="18" applyFont="1"/>
    <xf numFmtId="0" fontId="12" fillId="0" borderId="0" xfId="18" applyFont="1"/>
    <xf numFmtId="44" fontId="12" fillId="0" borderId="1" xfId="18" applyNumberFormat="1" applyFont="1" applyFill="1" applyBorder="1"/>
    <xf numFmtId="44" fontId="12" fillId="0" borderId="0" xfId="18" applyNumberFormat="1" applyFont="1"/>
    <xf numFmtId="44" fontId="12" fillId="0" borderId="1" xfId="18" applyNumberFormat="1" applyFont="1" applyBorder="1"/>
    <xf numFmtId="0" fontId="12" fillId="0" borderId="0" xfId="18" applyFont="1" applyAlignment="1">
      <alignment wrapText="1"/>
    </xf>
    <xf numFmtId="0" fontId="2" fillId="0" borderId="0" xfId="18" applyFont="1" applyBorder="1"/>
    <xf numFmtId="44" fontId="2" fillId="0" borderId="0" xfId="18" applyNumberFormat="1" applyFont="1" applyBorder="1"/>
    <xf numFmtId="44" fontId="5" fillId="0" borderId="0" xfId="18" applyNumberFormat="1" applyFont="1" applyBorder="1" applyAlignment="1">
      <alignment horizontal="left" vertical="center" wrapText="1"/>
    </xf>
    <xf numFmtId="44" fontId="5" fillId="0" borderId="0" xfId="18" applyNumberFormat="1" applyFont="1" applyBorder="1" applyAlignment="1">
      <alignment vertical="center" wrapText="1"/>
    </xf>
    <xf numFmtId="44" fontId="2" fillId="0" borderId="0" xfId="18" applyNumberFormat="1" applyFont="1"/>
    <xf numFmtId="44" fontId="12" fillId="3" borderId="1" xfId="18" applyNumberFormat="1" applyFont="1" applyFill="1" applyBorder="1"/>
    <xf numFmtId="44" fontId="11" fillId="3" borderId="1" xfId="18" applyNumberFormat="1" applyFont="1" applyFill="1" applyBorder="1"/>
    <xf numFmtId="0" fontId="11" fillId="3" borderId="27" xfId="18" applyFont="1" applyFill="1" applyBorder="1" applyAlignment="1">
      <alignment horizontal="center"/>
    </xf>
    <xf numFmtId="0" fontId="4" fillId="0" borderId="0" xfId="49" applyFont="1" applyFill="1" applyBorder="1"/>
    <xf numFmtId="0" fontId="2" fillId="0" borderId="0" xfId="49" applyFont="1" applyBorder="1"/>
    <xf numFmtId="0" fontId="2" fillId="0" borderId="0" xfId="49" applyFont="1" applyBorder="1" applyAlignment="1">
      <alignment horizontal="right"/>
    </xf>
    <xf numFmtId="0" fontId="12" fillId="0" borderId="0" xfId="41" applyFont="1" applyAlignment="1"/>
    <xf numFmtId="1" fontId="12" fillId="0" borderId="1" xfId="41" applyNumberFormat="1" applyFont="1" applyFill="1" applyBorder="1" applyAlignment="1">
      <alignment horizontal="center"/>
    </xf>
    <xf numFmtId="0" fontId="12" fillId="0" borderId="1" xfId="41" applyFont="1" applyFill="1" applyBorder="1" applyAlignment="1">
      <alignment horizontal="center"/>
    </xf>
    <xf numFmtId="0" fontId="12" fillId="0" borderId="1" xfId="41" applyFont="1" applyBorder="1" applyAlignment="1">
      <alignment horizontal="center"/>
    </xf>
    <xf numFmtId="0" fontId="12" fillId="0" borderId="13" xfId="41" applyFont="1" applyBorder="1" applyAlignment="1">
      <alignment wrapText="1"/>
    </xf>
    <xf numFmtId="44" fontId="12" fillId="0" borderId="0" xfId="41" applyNumberFormat="1" applyFont="1" applyAlignment="1"/>
    <xf numFmtId="168" fontId="12" fillId="0" borderId="1" xfId="41" applyNumberFormat="1" applyFont="1" applyFill="1" applyBorder="1" applyAlignment="1">
      <alignment horizontal="center" vertical="center" wrapText="1"/>
    </xf>
    <xf numFmtId="0" fontId="11" fillId="0" borderId="1" xfId="41" applyFont="1" applyBorder="1" applyAlignment="1">
      <alignment horizontal="center"/>
    </xf>
    <xf numFmtId="0" fontId="12" fillId="0" borderId="13" xfId="41" applyFont="1" applyFill="1" applyBorder="1" applyAlignment="1">
      <alignment wrapText="1"/>
    </xf>
    <xf numFmtId="1" fontId="12" fillId="0" borderId="9" xfId="41" applyNumberFormat="1" applyFont="1" applyFill="1" applyBorder="1" applyAlignment="1">
      <alignment horizontal="center"/>
    </xf>
    <xf numFmtId="0" fontId="12" fillId="0" borderId="9" xfId="41" applyFont="1" applyBorder="1" applyAlignment="1">
      <alignment horizontal="center"/>
    </xf>
    <xf numFmtId="44" fontId="13" fillId="0" borderId="37" xfId="41" applyNumberFormat="1" applyFont="1" applyBorder="1" applyAlignment="1"/>
    <xf numFmtId="44" fontId="12" fillId="3" borderId="4" xfId="18" applyNumberFormat="1" applyFont="1" applyFill="1" applyBorder="1"/>
    <xf numFmtId="44" fontId="11" fillId="3" borderId="4" xfId="18" applyNumberFormat="1" applyFont="1" applyFill="1" applyBorder="1"/>
    <xf numFmtId="44" fontId="12" fillId="0" borderId="4" xfId="18" applyNumberFormat="1" applyFont="1" applyBorder="1"/>
    <xf numFmtId="0" fontId="2" fillId="0" borderId="0" xfId="18" applyFont="1" applyBorder="1" applyAlignment="1">
      <alignment wrapText="1"/>
    </xf>
    <xf numFmtId="1" fontId="12" fillId="3" borderId="4" xfId="18" applyNumberFormat="1" applyFont="1" applyFill="1" applyBorder="1" applyAlignment="1">
      <alignment horizontal="center" wrapText="1"/>
    </xf>
    <xf numFmtId="1" fontId="12" fillId="3" borderId="1" xfId="18" applyNumberFormat="1" applyFont="1" applyFill="1" applyBorder="1" applyAlignment="1">
      <alignment horizontal="center" wrapText="1"/>
    </xf>
    <xf numFmtId="0" fontId="2" fillId="0" borderId="0" xfId="18" applyFont="1" applyAlignment="1">
      <alignment wrapText="1"/>
    </xf>
    <xf numFmtId="0" fontId="11" fillId="3" borderId="26" xfId="18" applyFont="1" applyFill="1" applyBorder="1" applyAlignment="1">
      <alignment horizontal="center"/>
    </xf>
    <xf numFmtId="0" fontId="11" fillId="5" borderId="1" xfId="0" applyFont="1" applyFill="1" applyBorder="1" applyAlignment="1">
      <alignment vertical="center" wrapText="1"/>
    </xf>
    <xf numFmtId="44" fontId="2" fillId="0" borderId="0" xfId="18" applyNumberFormat="1" applyFont="1" applyAlignment="1">
      <alignment vertical="center"/>
    </xf>
    <xf numFmtId="0" fontId="2" fillId="0" borderId="0" xfId="18" applyFont="1" applyAlignment="1">
      <alignment vertical="center"/>
    </xf>
    <xf numFmtId="49" fontId="5" fillId="4" borderId="9" xfId="18" applyNumberFormat="1" applyFont="1" applyFill="1" applyBorder="1" applyAlignment="1">
      <alignment horizontal="center" vertical="center"/>
    </xf>
    <xf numFmtId="49" fontId="4" fillId="7" borderId="9" xfId="18" applyNumberFormat="1" applyFont="1" applyFill="1" applyBorder="1" applyAlignment="1">
      <alignment horizontal="center" vertical="center"/>
    </xf>
    <xf numFmtId="49" fontId="4" fillId="7" borderId="10" xfId="18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27" xfId="18" applyFont="1" applyFill="1" applyBorder="1" applyAlignment="1">
      <alignment horizontal="center"/>
    </xf>
    <xf numFmtId="1" fontId="12" fillId="0" borderId="1" xfId="18" applyNumberFormat="1" applyFont="1" applyFill="1" applyBorder="1" applyAlignment="1">
      <alignment horizontal="center" wrapText="1"/>
    </xf>
    <xf numFmtId="0" fontId="11" fillId="0" borderId="4" xfId="18" applyFont="1" applyFill="1" applyBorder="1" applyAlignment="1">
      <alignment horizontal="center"/>
    </xf>
    <xf numFmtId="44" fontId="12" fillId="0" borderId="4" xfId="18" applyNumberFormat="1" applyFont="1" applyFill="1" applyBorder="1"/>
    <xf numFmtId="44" fontId="11" fillId="0" borderId="4" xfId="18" applyNumberFormat="1" applyFont="1" applyFill="1" applyBorder="1"/>
    <xf numFmtId="44" fontId="11" fillId="0" borderId="1" xfId="18" applyNumberFormat="1" applyFont="1" applyFill="1" applyBorder="1"/>
    <xf numFmtId="44" fontId="12" fillId="0" borderId="1" xfId="18" applyNumberFormat="1" applyFont="1" applyFill="1" applyBorder="1" applyAlignment="1">
      <alignment horizontal="right"/>
    </xf>
    <xf numFmtId="0" fontId="12" fillId="0" borderId="27" xfId="0" applyFont="1" applyFill="1" applyBorder="1" applyAlignment="1">
      <alignment horizontal="center"/>
    </xf>
    <xf numFmtId="0" fontId="11" fillId="0" borderId="1" xfId="18" applyFont="1" applyFill="1" applyBorder="1" applyAlignment="1">
      <alignment horizont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4" fillId="0" borderId="27" xfId="18" applyFont="1" applyFill="1" applyBorder="1" applyAlignment="1">
      <alignment horizontal="center" wrapText="1"/>
    </xf>
    <xf numFmtId="0" fontId="14" fillId="0" borderId="1" xfId="18" applyFont="1" applyFill="1" applyBorder="1" applyAlignment="1">
      <alignment wrapText="1"/>
    </xf>
    <xf numFmtId="44" fontId="14" fillId="0" borderId="1" xfId="18" applyNumberFormat="1" applyFont="1" applyFill="1" applyBorder="1" applyAlignment="1">
      <alignment wrapText="1"/>
    </xf>
    <xf numFmtId="167" fontId="14" fillId="0" borderId="1" xfId="18" applyNumberFormat="1" applyFont="1" applyFill="1" applyBorder="1" applyAlignment="1">
      <alignment wrapText="1"/>
    </xf>
    <xf numFmtId="0" fontId="13" fillId="0" borderId="1" xfId="0" applyFont="1" applyFill="1" applyBorder="1" applyAlignment="1">
      <alignment vertical="center" wrapText="1"/>
    </xf>
    <xf numFmtId="0" fontId="12" fillId="0" borderId="27" xfId="18" applyFont="1" applyFill="1" applyBorder="1" applyAlignment="1">
      <alignment horizontal="center" wrapText="1"/>
    </xf>
    <xf numFmtId="44" fontId="12" fillId="0" borderId="1" xfId="18" applyNumberFormat="1" applyFont="1" applyFill="1" applyBorder="1" applyAlignment="1">
      <alignment wrapText="1"/>
    </xf>
    <xf numFmtId="0" fontId="14" fillId="0" borderId="44" xfId="18" applyFont="1" applyFill="1" applyBorder="1" applyAlignment="1">
      <alignment wrapText="1"/>
    </xf>
    <xf numFmtId="0" fontId="14" fillId="0" borderId="16" xfId="18" applyFont="1" applyFill="1" applyBorder="1" applyAlignment="1">
      <alignment horizontal="center" wrapText="1"/>
    </xf>
    <xf numFmtId="0" fontId="14" fillId="0" borderId="16" xfId="18" applyFont="1" applyFill="1" applyBorder="1" applyAlignment="1">
      <alignment wrapText="1"/>
    </xf>
    <xf numFmtId="44" fontId="14" fillId="0" borderId="16" xfId="18" applyNumberFormat="1" applyFont="1" applyFill="1" applyBorder="1" applyAlignment="1">
      <alignment wrapText="1"/>
    </xf>
    <xf numFmtId="44" fontId="14" fillId="0" borderId="16" xfId="18" applyNumberFormat="1" applyFont="1" applyFill="1" applyBorder="1"/>
    <xf numFmtId="0" fontId="13" fillId="0" borderId="18" xfId="18" applyFont="1" applyFill="1" applyBorder="1" applyAlignment="1"/>
    <xf numFmtId="0" fontId="13" fillId="0" borderId="19" xfId="18" applyFont="1" applyFill="1" applyBorder="1" applyAlignment="1">
      <alignment horizontal="center"/>
    </xf>
    <xf numFmtId="0" fontId="13" fillId="0" borderId="19" xfId="18" applyFont="1" applyFill="1" applyBorder="1" applyAlignment="1">
      <alignment wrapText="1"/>
    </xf>
    <xf numFmtId="44" fontId="13" fillId="0" borderId="19" xfId="18" applyNumberFormat="1" applyFont="1" applyFill="1" applyBorder="1" applyAlignment="1"/>
    <xf numFmtId="0" fontId="13" fillId="0" borderId="19" xfId="18" applyFont="1" applyFill="1" applyBorder="1" applyAlignment="1"/>
    <xf numFmtId="44" fontId="13" fillId="0" borderId="19" xfId="18" applyNumberFormat="1" applyFont="1" applyFill="1" applyBorder="1"/>
    <xf numFmtId="44" fontId="13" fillId="0" borderId="29" xfId="18" applyNumberFormat="1" applyFont="1" applyFill="1" applyBorder="1"/>
    <xf numFmtId="0" fontId="30" fillId="0" borderId="0" xfId="18" applyFont="1"/>
    <xf numFmtId="44" fontId="4" fillId="0" borderId="0" xfId="18" applyNumberFormat="1" applyFont="1" applyBorder="1" applyAlignment="1"/>
    <xf numFmtId="0" fontId="30" fillId="0" borderId="0" xfId="18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1" xfId="18" applyFont="1" applyBorder="1" applyAlignment="1">
      <alignment horizontal="left"/>
    </xf>
    <xf numFmtId="44" fontId="2" fillId="0" borderId="1" xfId="21" applyFont="1" applyBorder="1" applyAlignment="1">
      <alignment horizontal="left" vertical="center" wrapText="1"/>
    </xf>
    <xf numFmtId="0" fontId="2" fillId="0" borderId="1" xfId="18" applyFont="1" applyFill="1" applyBorder="1" applyAlignment="1">
      <alignment horizontal="left"/>
    </xf>
    <xf numFmtId="44" fontId="2" fillId="0" borderId="1" xfId="18" applyNumberFormat="1" applyFont="1" applyFill="1" applyBorder="1" applyAlignment="1">
      <alignment horizontal="left"/>
    </xf>
    <xf numFmtId="44" fontId="2" fillId="0" borderId="1" xfId="18" applyNumberFormat="1" applyFont="1" applyBorder="1" applyAlignment="1">
      <alignment horizontal="left"/>
    </xf>
    <xf numFmtId="0" fontId="5" fillId="0" borderId="1" xfId="18" applyFont="1" applyFill="1" applyBorder="1" applyAlignment="1">
      <alignment horizontal="left"/>
    </xf>
    <xf numFmtId="0" fontId="30" fillId="0" borderId="0" xfId="18" applyFont="1" applyFill="1"/>
    <xf numFmtId="44" fontId="5" fillId="0" borderId="1" xfId="18" applyNumberFormat="1" applyFont="1" applyFill="1" applyBorder="1" applyAlignment="1">
      <alignment horizontal="left"/>
    </xf>
    <xf numFmtId="0" fontId="30" fillId="0" borderId="59" xfId="18" applyFont="1" applyFill="1" applyBorder="1"/>
    <xf numFmtId="44" fontId="19" fillId="0" borderId="1" xfId="21" applyFont="1" applyFill="1" applyBorder="1" applyAlignment="1">
      <alignment horizontal="left"/>
    </xf>
    <xf numFmtId="0" fontId="30" fillId="0" borderId="0" xfId="18" applyFont="1" applyFill="1" applyBorder="1"/>
    <xf numFmtId="44" fontId="2" fillId="0" borderId="1" xfId="21" applyFont="1" applyBorder="1" applyAlignment="1">
      <alignment horizontal="left"/>
    </xf>
    <xf numFmtId="164" fontId="2" fillId="0" borderId="1" xfId="4" applyNumberFormat="1" applyFont="1" applyBorder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166" fontId="2" fillId="0" borderId="1" xfId="18" applyNumberFormat="1" applyFont="1" applyBorder="1" applyAlignment="1">
      <alignment horizontal="left"/>
    </xf>
    <xf numFmtId="166" fontId="4" fillId="0" borderId="1" xfId="18" applyNumberFormat="1" applyFont="1" applyBorder="1" applyAlignment="1">
      <alignment horizontal="left"/>
    </xf>
    <xf numFmtId="44" fontId="4" fillId="0" borderId="1" xfId="18" applyNumberFormat="1" applyFont="1" applyBorder="1" applyAlignment="1">
      <alignment horizontal="left"/>
    </xf>
    <xf numFmtId="168" fontId="19" fillId="0" borderId="1" xfId="4" applyNumberFormat="1" applyFont="1" applyFill="1" applyBorder="1" applyAlignment="1">
      <alignment horizontal="left"/>
    </xf>
    <xf numFmtId="168" fontId="2" fillId="0" borderId="1" xfId="4" applyNumberFormat="1" applyFont="1" applyBorder="1" applyAlignment="1">
      <alignment horizontal="left"/>
    </xf>
    <xf numFmtId="43" fontId="2" fillId="0" borderId="1" xfId="17" applyNumberFormat="1" applyFont="1" applyBorder="1" applyAlignment="1">
      <alignment horizontal="left"/>
    </xf>
    <xf numFmtId="0" fontId="2" fillId="0" borderId="1" xfId="17" applyFont="1" applyFill="1" applyBorder="1" applyAlignment="1">
      <alignment horizontal="left"/>
    </xf>
    <xf numFmtId="44" fontId="4" fillId="7" borderId="0" xfId="18" applyNumberFormat="1" applyFont="1" applyFill="1"/>
    <xf numFmtId="0" fontId="30" fillId="0" borderId="0" xfId="18" applyFont="1" applyAlignment="1">
      <alignment horizontal="center"/>
    </xf>
    <xf numFmtId="0" fontId="31" fillId="7" borderId="0" xfId="18" applyFont="1" applyFill="1"/>
    <xf numFmtId="0" fontId="10" fillId="0" borderId="1" xfId="65" applyFont="1" applyBorder="1" applyAlignment="1"/>
    <xf numFmtId="0" fontId="11" fillId="0" borderId="1" xfId="7" applyFont="1" applyFill="1" applyBorder="1" applyAlignment="1">
      <alignment horizontal="center"/>
    </xf>
    <xf numFmtId="4" fontId="32" fillId="0" borderId="1" xfId="66" applyNumberFormat="1" applyFont="1" applyBorder="1" applyAlignment="1"/>
    <xf numFmtId="0" fontId="10" fillId="0" borderId="1" xfId="67" applyFont="1" applyBorder="1" applyAlignment="1">
      <alignment horizontal="center"/>
    </xf>
    <xf numFmtId="0" fontId="10" fillId="0" borderId="1" xfId="65" applyFont="1" applyBorder="1" applyAlignment="1">
      <alignment wrapText="1"/>
    </xf>
    <xf numFmtId="0" fontId="10" fillId="0" borderId="1" xfId="65" applyFont="1" applyBorder="1" applyAlignment="1">
      <alignment horizontal="left" wrapText="1"/>
    </xf>
    <xf numFmtId="0" fontId="10" fillId="0" borderId="1" xfId="68" applyFont="1" applyBorder="1" applyAlignment="1"/>
    <xf numFmtId="0" fontId="32" fillId="0" borderId="1" xfId="69" applyFont="1" applyBorder="1" applyAlignment="1">
      <alignment horizontal="center"/>
    </xf>
    <xf numFmtId="4" fontId="32" fillId="0" borderId="1" xfId="70" applyNumberFormat="1" applyFont="1" applyBorder="1" applyAlignment="1"/>
    <xf numFmtId="0" fontId="10" fillId="0" borderId="1" xfId="71" applyFont="1" applyBorder="1" applyAlignment="1"/>
    <xf numFmtId="0" fontId="32" fillId="0" borderId="1" xfId="72" applyFont="1" applyBorder="1" applyAlignment="1">
      <alignment horizontal="center"/>
    </xf>
    <xf numFmtId="4" fontId="32" fillId="0" borderId="1" xfId="73" applyNumberFormat="1" applyFont="1" applyBorder="1" applyAlignment="1"/>
    <xf numFmtId="0" fontId="10" fillId="0" borderId="1" xfId="71" applyFont="1" applyBorder="1" applyAlignment="1">
      <alignment wrapText="1"/>
    </xf>
    <xf numFmtId="0" fontId="10" fillId="0" borderId="1" xfId="74" applyFont="1" applyBorder="1" applyAlignment="1"/>
    <xf numFmtId="0" fontId="32" fillId="0" borderId="1" xfId="75" applyFont="1" applyBorder="1" applyAlignment="1">
      <alignment horizontal="center"/>
    </xf>
    <xf numFmtId="4" fontId="32" fillId="0" borderId="1" xfId="76" applyNumberFormat="1" applyFont="1" applyBorder="1" applyAlignment="1"/>
    <xf numFmtId="0" fontId="10" fillId="0" borderId="1" xfId="74" applyFont="1" applyBorder="1" applyAlignment="1">
      <alignment wrapText="1"/>
    </xf>
    <xf numFmtId="0" fontId="10" fillId="0" borderId="1" xfId="77" applyFont="1" applyBorder="1" applyAlignment="1"/>
    <xf numFmtId="0" fontId="32" fillId="0" borderId="1" xfId="78" applyFont="1" applyBorder="1" applyAlignment="1">
      <alignment horizontal="center"/>
    </xf>
    <xf numFmtId="4" fontId="32" fillId="0" borderId="1" xfId="79" applyNumberFormat="1" applyFont="1" applyBorder="1" applyAlignment="1"/>
    <xf numFmtId="0" fontId="10" fillId="0" borderId="1" xfId="77" applyFont="1" applyBorder="1" applyAlignment="1">
      <alignment wrapText="1"/>
    </xf>
    <xf numFmtId="0" fontId="10" fillId="0" borderId="1" xfId="80" applyFont="1" applyBorder="1" applyAlignment="1"/>
    <xf numFmtId="0" fontId="32" fillId="0" borderId="1" xfId="81" applyFont="1" applyBorder="1" applyAlignment="1">
      <alignment horizontal="center"/>
    </xf>
    <xf numFmtId="4" fontId="32" fillId="3" borderId="1" xfId="82" applyNumberFormat="1" applyFont="1" applyFill="1" applyBorder="1" applyAlignment="1"/>
    <xf numFmtId="0" fontId="10" fillId="0" borderId="1" xfId="83" applyFont="1" applyBorder="1" applyAlignment="1"/>
    <xf numFmtId="0" fontId="32" fillId="0" borderId="1" xfId="84" applyFont="1" applyBorder="1" applyAlignment="1">
      <alignment horizontal="center"/>
    </xf>
    <xf numFmtId="4" fontId="32" fillId="0" borderId="1" xfId="85" applyNumberFormat="1" applyFont="1" applyBorder="1" applyAlignment="1"/>
    <xf numFmtId="0" fontId="10" fillId="0" borderId="1" xfId="86" applyFont="1" applyBorder="1" applyAlignment="1"/>
    <xf numFmtId="4" fontId="32" fillId="0" borderId="1" xfId="87" applyNumberFormat="1" applyFont="1" applyBorder="1" applyAlignment="1"/>
    <xf numFmtId="0" fontId="10" fillId="0" borderId="1" xfId="88" applyFont="1" applyBorder="1" applyAlignment="1"/>
    <xf numFmtId="4" fontId="32" fillId="3" borderId="1" xfId="89" applyNumberFormat="1" applyFont="1" applyFill="1" applyBorder="1" applyAlignment="1"/>
    <xf numFmtId="4" fontId="32" fillId="0" borderId="1" xfId="89" applyNumberFormat="1" applyFont="1" applyBorder="1" applyAlignment="1"/>
    <xf numFmtId="0" fontId="10" fillId="0" borderId="1" xfId="90" applyFont="1" applyBorder="1" applyAlignment="1"/>
    <xf numFmtId="4" fontId="32" fillId="0" borderId="1" xfId="91" applyNumberFormat="1" applyFont="1" applyBorder="1" applyAlignment="1"/>
    <xf numFmtId="4" fontId="32" fillId="3" borderId="1" xfId="91" applyNumberFormat="1" applyFont="1" applyFill="1" applyBorder="1" applyAlignment="1"/>
    <xf numFmtId="0" fontId="10" fillId="0" borderId="1" xfId="92" applyFont="1" applyBorder="1" applyAlignment="1"/>
    <xf numFmtId="4" fontId="32" fillId="0" borderId="1" xfId="93" applyNumberFormat="1" applyFont="1" applyBorder="1" applyAlignment="1"/>
    <xf numFmtId="0" fontId="10" fillId="0" borderId="1" xfId="94" applyFont="1" applyBorder="1" applyAlignment="1"/>
    <xf numFmtId="4" fontId="32" fillId="0" borderId="1" xfId="95" applyNumberFormat="1" applyFont="1" applyBorder="1" applyAlignment="1"/>
    <xf numFmtId="0" fontId="10" fillId="0" borderId="1" xfId="96" applyFont="1" applyBorder="1" applyAlignment="1"/>
    <xf numFmtId="4" fontId="32" fillId="0" borderId="1" xfId="97" applyNumberFormat="1" applyFont="1" applyBorder="1" applyAlignment="1"/>
    <xf numFmtId="0" fontId="10" fillId="0" borderId="1" xfId="98" applyFont="1" applyBorder="1" applyAlignment="1"/>
    <xf numFmtId="4" fontId="32" fillId="3" borderId="1" xfId="99" applyNumberFormat="1" applyFont="1" applyFill="1" applyBorder="1" applyAlignment="1"/>
    <xf numFmtId="4" fontId="32" fillId="0" borderId="1" xfId="99" applyNumberFormat="1" applyFont="1" applyBorder="1" applyAlignment="1"/>
    <xf numFmtId="0" fontId="10" fillId="0" borderId="1" xfId="100" applyFont="1" applyBorder="1" applyAlignment="1"/>
    <xf numFmtId="4" fontId="32" fillId="0" borderId="1" xfId="101" applyNumberFormat="1" applyFont="1" applyBorder="1" applyAlignment="1"/>
    <xf numFmtId="0" fontId="24" fillId="0" borderId="1" xfId="102" applyFont="1" applyBorder="1" applyAlignment="1"/>
    <xf numFmtId="0" fontId="24" fillId="0" borderId="1" xfId="103" applyFont="1" applyBorder="1" applyAlignment="1"/>
    <xf numFmtId="0" fontId="24" fillId="0" borderId="1" xfId="103" applyFont="1" applyBorder="1" applyAlignment="1">
      <alignment wrapText="1"/>
    </xf>
    <xf numFmtId="0" fontId="24" fillId="0" borderId="1" xfId="104" applyFont="1" applyBorder="1" applyAlignment="1"/>
    <xf numFmtId="4" fontId="32" fillId="3" borderId="1" xfId="101" applyNumberFormat="1" applyFont="1" applyFill="1" applyBorder="1" applyAlignment="1"/>
    <xf numFmtId="0" fontId="24" fillId="0" borderId="1" xfId="104" applyFont="1" applyBorder="1" applyAlignment="1">
      <alignment wrapText="1"/>
    </xf>
    <xf numFmtId="0" fontId="24" fillId="3" borderId="4" xfId="104" applyNumberFormat="1" applyFont="1" applyFill="1" applyBorder="1" applyAlignment="1" applyProtection="1">
      <alignment vertical="top"/>
    </xf>
    <xf numFmtId="0" fontId="24" fillId="0" borderId="4" xfId="7" applyNumberFormat="1" applyFont="1" applyFill="1" applyBorder="1" applyAlignment="1" applyProtection="1">
      <alignment horizontal="center" vertical="center"/>
    </xf>
    <xf numFmtId="4" fontId="33" fillId="0" borderId="4" xfId="0" applyNumberFormat="1" applyFont="1" applyFill="1" applyBorder="1" applyAlignment="1" applyProtection="1">
      <alignment vertical="top"/>
    </xf>
    <xf numFmtId="43" fontId="24" fillId="0" borderId="4" xfId="7" applyNumberFormat="1" applyFont="1" applyFill="1" applyBorder="1" applyAlignment="1" applyProtection="1">
      <alignment vertical="top"/>
    </xf>
    <xf numFmtId="0" fontId="24" fillId="0" borderId="1" xfId="104" applyNumberFormat="1" applyFont="1" applyFill="1" applyBorder="1" applyAlignment="1" applyProtection="1">
      <alignment vertical="top"/>
    </xf>
    <xf numFmtId="0" fontId="24" fillId="0" borderId="1" xfId="7" applyNumberFormat="1" applyFont="1" applyFill="1" applyBorder="1" applyAlignment="1" applyProtection="1">
      <alignment horizontal="center" vertical="center"/>
    </xf>
    <xf numFmtId="4" fontId="33" fillId="0" borderId="1" xfId="0" applyNumberFormat="1" applyFont="1" applyFill="1" applyBorder="1" applyAlignment="1" applyProtection="1">
      <alignment vertical="top"/>
    </xf>
    <xf numFmtId="43" fontId="24" fillId="0" borderId="1" xfId="7" applyNumberFormat="1" applyFont="1" applyFill="1" applyBorder="1" applyAlignment="1" applyProtection="1">
      <alignment vertical="top"/>
    </xf>
    <xf numFmtId="0" fontId="24" fillId="0" borderId="1" xfId="104" applyNumberFormat="1" applyFont="1" applyFill="1" applyBorder="1" applyAlignment="1" applyProtection="1">
      <alignment vertical="top" wrapText="1"/>
    </xf>
    <xf numFmtId="4" fontId="33" fillId="0" borderId="1" xfId="0" applyNumberFormat="1" applyFont="1" applyFill="1" applyBorder="1" applyAlignment="1" applyProtection="1">
      <alignment vertical="center"/>
    </xf>
    <xf numFmtId="43" fontId="24" fillId="0" borderId="1" xfId="7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top"/>
    </xf>
    <xf numFmtId="0" fontId="24" fillId="0" borderId="1" xfId="104" applyNumberFormat="1" applyFont="1" applyFill="1" applyBorder="1" applyAlignment="1" applyProtection="1"/>
    <xf numFmtId="4" fontId="33" fillId="0" borderId="1" xfId="0" applyNumberFormat="1" applyFont="1" applyFill="1" applyBorder="1" applyAlignment="1" applyProtection="1"/>
    <xf numFmtId="43" fontId="24" fillId="0" borderId="1" xfId="7" applyNumberFormat="1" applyFont="1" applyFill="1" applyBorder="1" applyAlignment="1" applyProtection="1"/>
    <xf numFmtId="0" fontId="24" fillId="0" borderId="1" xfId="104" applyNumberFormat="1" applyFont="1" applyFill="1" applyBorder="1" applyAlignment="1" applyProtection="1">
      <alignment wrapText="1"/>
    </xf>
    <xf numFmtId="0" fontId="24" fillId="0" borderId="1" xfId="0" applyNumberFormat="1" applyFont="1" applyFill="1" applyBorder="1" applyAlignment="1" applyProtection="1"/>
    <xf numFmtId="0" fontId="24" fillId="0" borderId="1" xfId="77" applyNumberFormat="1" applyFont="1" applyFill="1" applyBorder="1" applyAlignment="1" applyProtection="1">
      <alignment vertical="top"/>
    </xf>
    <xf numFmtId="0" fontId="24" fillId="0" borderId="16" xfId="77" applyNumberFormat="1" applyFont="1" applyFill="1" applyBorder="1" applyAlignment="1" applyProtection="1">
      <alignment vertical="top" wrapText="1"/>
    </xf>
    <xf numFmtId="0" fontId="24" fillId="0" borderId="16" xfId="7" applyNumberFormat="1" applyFont="1" applyFill="1" applyBorder="1" applyAlignment="1" applyProtection="1">
      <alignment horizontal="center" vertical="center"/>
    </xf>
    <xf numFmtId="4" fontId="33" fillId="0" borderId="16" xfId="0" applyNumberFormat="1" applyFont="1" applyFill="1" applyBorder="1" applyAlignment="1" applyProtection="1">
      <alignment vertical="center"/>
    </xf>
    <xf numFmtId="43" fontId="24" fillId="0" borderId="16" xfId="7" applyNumberFormat="1" applyFont="1" applyFill="1" applyBorder="1" applyAlignment="1" applyProtection="1">
      <alignment vertical="center"/>
    </xf>
    <xf numFmtId="0" fontId="10" fillId="0" borderId="1" xfId="67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44" fontId="11" fillId="0" borderId="1" xfId="5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4" fontId="21" fillId="0" borderId="1" xfId="5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1" fillId="0" borderId="1" xfId="0" applyFont="1" applyFill="1" applyBorder="1" applyAlignment="1">
      <alignment horizontal="left" vertical="center" wrapText="1"/>
    </xf>
    <xf numFmtId="44" fontId="21" fillId="0" borderId="1" xfId="5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4" fontId="34" fillId="0" borderId="1" xfId="5" applyFont="1" applyFill="1" applyBorder="1" applyAlignment="1">
      <alignment vertical="center"/>
    </xf>
    <xf numFmtId="0" fontId="21" fillId="3" borderId="1" xfId="0" applyFont="1" applyFill="1" applyBorder="1" applyAlignment="1">
      <alignment wrapText="1"/>
    </xf>
    <xf numFmtId="0" fontId="0" fillId="3" borderId="1" xfId="0" applyFill="1" applyBorder="1" applyAlignment="1">
      <alignment horizontal="center" vertical="center"/>
    </xf>
    <xf numFmtId="44" fontId="34" fillId="3" borderId="1" xfId="5" applyFont="1" applyFill="1" applyBorder="1" applyAlignment="1">
      <alignment vertical="center"/>
    </xf>
    <xf numFmtId="0" fontId="35" fillId="0" borderId="13" xfId="105" applyFont="1" applyBorder="1" applyAlignment="1">
      <alignment wrapText="1"/>
    </xf>
    <xf numFmtId="0" fontId="35" fillId="8" borderId="1" xfId="105" applyFont="1" applyFill="1" applyBorder="1" applyAlignment="1">
      <alignment horizontal="center" vertical="center"/>
    </xf>
    <xf numFmtId="4" fontId="35" fillId="0" borderId="1" xfId="105" applyNumberFormat="1" applyFont="1" applyFill="1" applyBorder="1" applyAlignment="1">
      <alignment horizontal="center" vertical="center"/>
    </xf>
    <xf numFmtId="0" fontId="35" fillId="0" borderId="1" xfId="105" applyFont="1" applyBorder="1" applyAlignment="1">
      <alignment horizontal="center"/>
    </xf>
    <xf numFmtId="0" fontId="12" fillId="0" borderId="1" xfId="105" applyFont="1" applyBorder="1" applyAlignment="1">
      <alignment horizontal="center"/>
    </xf>
    <xf numFmtId="0" fontId="35" fillId="8" borderId="13" xfId="105" applyFont="1" applyFill="1" applyBorder="1" applyAlignment="1">
      <alignment wrapText="1"/>
    </xf>
    <xf numFmtId="0" fontId="35" fillId="3" borderId="13" xfId="105" applyFont="1" applyFill="1" applyBorder="1" applyAlignment="1">
      <alignment wrapText="1"/>
    </xf>
    <xf numFmtId="0" fontId="35" fillId="3" borderId="1" xfId="105" applyFont="1" applyFill="1" applyBorder="1" applyAlignment="1">
      <alignment horizontal="center" vertical="center"/>
    </xf>
    <xf numFmtId="4" fontId="35" fillId="3" borderId="1" xfId="105" applyNumberFormat="1" applyFont="1" applyFill="1" applyBorder="1" applyAlignment="1">
      <alignment horizontal="center" vertical="center"/>
    </xf>
    <xf numFmtId="0" fontId="35" fillId="0" borderId="1" xfId="105" applyFont="1" applyFill="1" applyBorder="1" applyAlignment="1">
      <alignment horizontal="center" vertical="center"/>
    </xf>
    <xf numFmtId="44" fontId="34" fillId="0" borderId="1" xfId="0" applyNumberFormat="1" applyFont="1" applyFill="1" applyBorder="1" applyAlignment="1">
      <alignment wrapText="1"/>
    </xf>
    <xf numFmtId="0" fontId="36" fillId="0" borderId="1" xfId="0" applyFont="1" applyBorder="1" applyAlignment="1">
      <alignment wrapText="1"/>
    </xf>
    <xf numFmtId="0" fontId="11" fillId="0" borderId="0" xfId="7" applyFont="1" applyFill="1" applyBorder="1" applyAlignment="1">
      <alignment horizontal="center" vertical="center"/>
    </xf>
    <xf numFmtId="44" fontId="11" fillId="0" borderId="0" xfId="14" applyNumberFormat="1" applyFont="1" applyFill="1" applyBorder="1" applyAlignment="1">
      <alignment horizontal="center" vertical="center"/>
    </xf>
    <xf numFmtId="43" fontId="36" fillId="0" borderId="60" xfId="2" applyFont="1" applyFill="1" applyBorder="1" applyAlignment="1">
      <alignment horizontal="left" vertical="center" wrapText="1" readingOrder="1"/>
    </xf>
    <xf numFmtId="43" fontId="36" fillId="0" borderId="61" xfId="2" applyFont="1" applyFill="1" applyBorder="1" applyAlignment="1">
      <alignment horizontal="left" vertical="center" wrapText="1" readingOrder="1"/>
    </xf>
    <xf numFmtId="0" fontId="36" fillId="0" borderId="1" xfId="0" applyFont="1" applyBorder="1" applyAlignment="1">
      <alignment horizontal="left" wrapText="1"/>
    </xf>
    <xf numFmtId="0" fontId="13" fillId="0" borderId="3" xfId="7" applyFont="1" applyFill="1" applyBorder="1" applyAlignment="1">
      <alignment horizontal="center"/>
    </xf>
    <xf numFmtId="44" fontId="13" fillId="0" borderId="22" xfId="0" applyNumberFormat="1" applyFont="1" applyFill="1" applyBorder="1"/>
    <xf numFmtId="0" fontId="13" fillId="0" borderId="23" xfId="0" applyFont="1" applyFill="1" applyBorder="1"/>
    <xf numFmtId="44" fontId="13" fillId="0" borderId="23" xfId="0" applyNumberFormat="1" applyFont="1" applyFill="1" applyBorder="1"/>
    <xf numFmtId="0" fontId="13" fillId="0" borderId="24" xfId="0" applyFont="1" applyFill="1" applyBorder="1" applyAlignment="1">
      <alignment horizontal="center"/>
    </xf>
    <xf numFmtId="44" fontId="0" fillId="0" borderId="0" xfId="0" applyNumberFormat="1"/>
    <xf numFmtId="0" fontId="37" fillId="0" borderId="0" xfId="15" applyFont="1" applyFill="1" applyBorder="1"/>
    <xf numFmtId="0" fontId="38" fillId="0" borderId="0" xfId="15" applyFont="1" applyBorder="1"/>
    <xf numFmtId="0" fontId="38" fillId="0" borderId="0" xfId="15" applyFont="1" applyBorder="1" applyAlignment="1">
      <alignment horizontal="right"/>
    </xf>
    <xf numFmtId="0" fontId="22" fillId="4" borderId="9" xfId="0" quotePrefix="1" applyFont="1" applyFill="1" applyBorder="1" applyAlignment="1">
      <alignment horizontal="center" vertical="center"/>
    </xf>
    <xf numFmtId="0" fontId="22" fillId="4" borderId="46" xfId="0" quotePrefix="1" applyFont="1" applyFill="1" applyBorder="1" applyAlignment="1">
      <alignment horizontal="center" vertical="center"/>
    </xf>
    <xf numFmtId="0" fontId="22" fillId="4" borderId="10" xfId="0" quotePrefix="1" applyFont="1" applyFill="1" applyBorder="1" applyAlignment="1">
      <alignment horizontal="center" vertical="center"/>
    </xf>
    <xf numFmtId="44" fontId="4" fillId="7" borderId="37" xfId="15" applyNumberFormat="1" applyFont="1" applyFill="1" applyBorder="1"/>
    <xf numFmtId="0" fontId="6" fillId="0" borderId="16" xfId="0" applyFont="1" applyBorder="1" applyAlignment="1">
      <alignment horizontal="left" vertical="center"/>
    </xf>
    <xf numFmtId="0" fontId="2" fillId="0" borderId="16" xfId="18" applyFont="1" applyBorder="1" applyAlignment="1">
      <alignment horizontal="left"/>
    </xf>
    <xf numFmtId="44" fontId="2" fillId="0" borderId="16" xfId="18" applyNumberFormat="1" applyFont="1" applyBorder="1" applyAlignment="1">
      <alignment horizontal="left"/>
    </xf>
    <xf numFmtId="0" fontId="2" fillId="7" borderId="18" xfId="18" applyFont="1" applyFill="1" applyBorder="1"/>
    <xf numFmtId="0" fontId="2" fillId="7" borderId="19" xfId="18" applyFont="1" applyFill="1" applyBorder="1" applyAlignment="1">
      <alignment horizontal="center"/>
    </xf>
    <xf numFmtId="0" fontId="4" fillId="7" borderId="19" xfId="18" applyFont="1" applyFill="1" applyBorder="1"/>
    <xf numFmtId="44" fontId="4" fillId="7" borderId="19" xfId="18" applyNumberFormat="1" applyFont="1" applyFill="1" applyBorder="1"/>
    <xf numFmtId="44" fontId="4" fillId="7" borderId="29" xfId="18" applyNumberFormat="1" applyFont="1" applyFill="1" applyBorder="1"/>
    <xf numFmtId="44" fontId="4" fillId="7" borderId="21" xfId="18" applyNumberFormat="1" applyFont="1" applyFill="1" applyBorder="1"/>
    <xf numFmtId="44" fontId="4" fillId="7" borderId="47" xfId="1" applyNumberFormat="1" applyFont="1" applyFill="1" applyBorder="1" applyAlignment="1">
      <alignment horizontal="center" vertical="center"/>
    </xf>
    <xf numFmtId="44" fontId="4" fillId="7" borderId="21" xfId="41" applyNumberFormat="1" applyFont="1" applyFill="1" applyBorder="1" applyAlignment="1"/>
    <xf numFmtId="167" fontId="7" fillId="7" borderId="21" xfId="7" applyNumberFormat="1" applyFont="1" applyFill="1" applyBorder="1" applyAlignment="1"/>
    <xf numFmtId="0" fontId="4" fillId="7" borderId="1" xfId="17" applyFont="1" applyFill="1" applyBorder="1" applyAlignment="1" applyProtection="1">
      <alignment horizontal="center" vertical="center"/>
      <protection locked="0"/>
    </xf>
    <xf numFmtId="0" fontId="14" fillId="0" borderId="1" xfId="17" applyFont="1" applyFill="1" applyBorder="1" applyAlignment="1" applyProtection="1">
      <alignment horizontal="center" vertical="center"/>
      <protection locked="0"/>
    </xf>
    <xf numFmtId="0" fontId="14" fillId="0" borderId="1" xfId="17" applyFont="1" applyFill="1" applyBorder="1" applyAlignment="1" applyProtection="1">
      <alignment vertical="center"/>
      <protection locked="0"/>
    </xf>
    <xf numFmtId="0" fontId="4" fillId="7" borderId="14" xfId="17" applyFont="1" applyFill="1" applyBorder="1" applyAlignment="1" applyProtection="1">
      <alignment horizontal="center" vertical="center"/>
      <protection locked="0"/>
    </xf>
    <xf numFmtId="0" fontId="12" fillId="0" borderId="13" xfId="17" applyFont="1" applyFill="1" applyBorder="1" applyAlignment="1" applyProtection="1">
      <alignment horizontal="left" vertical="center" wrapText="1"/>
      <protection locked="0"/>
    </xf>
    <xf numFmtId="0" fontId="12" fillId="0" borderId="14" xfId="17" applyFont="1" applyFill="1" applyBorder="1" applyAlignment="1" applyProtection="1">
      <alignment vertical="center"/>
      <protection locked="0"/>
    </xf>
    <xf numFmtId="44" fontId="12" fillId="0" borderId="14" xfId="17" applyNumberFormat="1" applyFont="1" applyFill="1" applyBorder="1" applyAlignment="1" applyProtection="1">
      <alignment vertical="center"/>
      <protection locked="0"/>
    </xf>
    <xf numFmtId="0" fontId="14" fillId="0" borderId="8" xfId="17" applyFont="1" applyFill="1" applyBorder="1" applyAlignment="1" applyProtection="1">
      <alignment vertical="center"/>
      <protection locked="0"/>
    </xf>
    <xf numFmtId="0" fontId="14" fillId="0" borderId="9" xfId="17" applyFont="1" applyFill="1" applyBorder="1" applyAlignment="1" applyProtection="1">
      <alignment horizontal="center" vertical="center"/>
      <protection locked="0"/>
    </xf>
    <xf numFmtId="0" fontId="14" fillId="0" borderId="9" xfId="17" applyFont="1" applyFill="1" applyBorder="1" applyAlignment="1" applyProtection="1">
      <alignment vertical="center"/>
      <protection locked="0"/>
    </xf>
    <xf numFmtId="44" fontId="14" fillId="0" borderId="9" xfId="17" applyNumberFormat="1" applyFont="1" applyFill="1" applyBorder="1" applyAlignment="1" applyProtection="1">
      <alignment vertical="center"/>
      <protection locked="0"/>
    </xf>
    <xf numFmtId="44" fontId="14" fillId="0" borderId="10" xfId="17" applyNumberFormat="1" applyFont="1" applyFill="1" applyBorder="1" applyAlignment="1" applyProtection="1">
      <alignment vertical="center"/>
      <protection locked="0"/>
    </xf>
    <xf numFmtId="44" fontId="7" fillId="7" borderId="25" xfId="0" applyNumberFormat="1" applyFont="1" applyFill="1" applyBorder="1"/>
    <xf numFmtId="0" fontId="6" fillId="0" borderId="13" xfId="0" applyFont="1" applyBorder="1" applyAlignment="1">
      <alignment vertical="center" wrapText="1"/>
    </xf>
    <xf numFmtId="44" fontId="2" fillId="0" borderId="1" xfId="5" applyFont="1" applyBorder="1"/>
    <xf numFmtId="0" fontId="39" fillId="0" borderId="1" xfId="0" applyFont="1" applyFill="1" applyBorder="1" applyAlignment="1">
      <alignment horizontal="center" vertical="center" wrapText="1"/>
    </xf>
    <xf numFmtId="43" fontId="2" fillId="0" borderId="1" xfId="4" applyFont="1" applyBorder="1"/>
    <xf numFmtId="44" fontId="2" fillId="0" borderId="1" xfId="0" applyNumberFormat="1" applyFont="1" applyBorder="1"/>
    <xf numFmtId="43" fontId="2" fillId="0" borderId="1" xfId="4" applyFont="1" applyFill="1" applyBorder="1"/>
    <xf numFmtId="44" fontId="2" fillId="0" borderId="1" xfId="5" applyFont="1" applyFill="1" applyBorder="1"/>
    <xf numFmtId="44" fontId="2" fillId="0" borderId="1" xfId="0" applyNumberFormat="1" applyFont="1" applyFill="1" applyBorder="1"/>
    <xf numFmtId="0" fontId="8" fillId="0" borderId="13" xfId="0" applyFont="1" applyBorder="1" applyAlignment="1">
      <alignment vertical="center" wrapText="1"/>
    </xf>
    <xf numFmtId="43" fontId="19" fillId="0" borderId="1" xfId="4" applyFont="1" applyFill="1" applyBorder="1" applyAlignment="1">
      <alignment horizontal="right"/>
    </xf>
    <xf numFmtId="44" fontId="40" fillId="0" borderId="1" xfId="0" applyNumberFormat="1" applyFont="1" applyBorder="1"/>
    <xf numFmtId="44" fontId="2" fillId="0" borderId="1" xfId="4" applyNumberFormat="1" applyFont="1" applyFill="1" applyBorder="1" applyAlignment="1">
      <alignment horizontal="right" vertical="center"/>
    </xf>
    <xf numFmtId="0" fontId="6" fillId="5" borderId="1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2" fillId="0" borderId="25" xfId="0" applyFont="1" applyBorder="1" applyAlignment="1">
      <alignment horizontal="center" wrapText="1"/>
    </xf>
    <xf numFmtId="0" fontId="41" fillId="0" borderId="25" xfId="0" applyFont="1" applyBorder="1" applyAlignment="1">
      <alignment horizontal="center"/>
    </xf>
    <xf numFmtId="43" fontId="2" fillId="0" borderId="45" xfId="4" applyFont="1" applyBorder="1"/>
    <xf numFmtId="43" fontId="19" fillId="0" borderId="25" xfId="4" applyFont="1" applyFill="1" applyBorder="1" applyAlignment="1">
      <alignment horizontal="right"/>
    </xf>
    <xf numFmtId="43" fontId="2" fillId="0" borderId="37" xfId="4" applyFont="1" applyBorder="1"/>
    <xf numFmtId="43" fontId="2" fillId="0" borderId="42" xfId="4" applyFont="1" applyBorder="1"/>
    <xf numFmtId="43" fontId="2" fillId="0" borderId="25" xfId="4" applyFont="1" applyBorder="1"/>
    <xf numFmtId="0" fontId="2" fillId="0" borderId="0" xfId="0" applyFont="1" applyAlignment="1">
      <alignment horizontal="left" wrapText="1"/>
    </xf>
    <xf numFmtId="0" fontId="42" fillId="0" borderId="0" xfId="0" applyFont="1" applyAlignment="1">
      <alignment horizontal="center"/>
    </xf>
    <xf numFmtId="0" fontId="20" fillId="0" borderId="0" xfId="0" applyFont="1" applyAlignment="1">
      <alignment wrapText="1"/>
    </xf>
    <xf numFmtId="43" fontId="20" fillId="0" borderId="0" xfId="4" applyFont="1"/>
    <xf numFmtId="44" fontId="7" fillId="7" borderId="37" xfId="0" applyNumberFormat="1" applyFont="1" applyFill="1" applyBorder="1"/>
    <xf numFmtId="0" fontId="2" fillId="0" borderId="0" xfId="1" applyFont="1" applyBorder="1" applyAlignment="1">
      <alignment wrapText="1"/>
    </xf>
    <xf numFmtId="44" fontId="2" fillId="0" borderId="0" xfId="1" applyNumberFormat="1" applyFont="1" applyBorder="1" applyAlignment="1">
      <alignment wrapText="1"/>
    </xf>
    <xf numFmtId="0" fontId="0" fillId="0" borderId="0" xfId="0" applyAlignment="1">
      <alignment wrapText="1"/>
    </xf>
    <xf numFmtId="0" fontId="11" fillId="0" borderId="1" xfId="7" applyFont="1" applyFill="1" applyBorder="1" applyAlignment="1">
      <alignment vertical="center" wrapText="1"/>
    </xf>
    <xf numFmtId="0" fontId="11" fillId="0" borderId="16" xfId="7" applyFont="1" applyFill="1" applyBorder="1" applyAlignment="1">
      <alignment vertical="center" wrapText="1"/>
    </xf>
    <xf numFmtId="0" fontId="13" fillId="0" borderId="19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3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167" fontId="11" fillId="3" borderId="1" xfId="0" applyNumberFormat="1" applyFont="1" applyFill="1" applyBorder="1" applyAlignment="1">
      <alignment horizontal="right"/>
    </xf>
    <xf numFmtId="8" fontId="13" fillId="7" borderId="21" xfId="0" applyNumberFormat="1" applyFont="1" applyFill="1" applyBorder="1" applyAlignment="1"/>
    <xf numFmtId="0" fontId="7" fillId="7" borderId="1" xfId="1" applyFont="1" applyFill="1" applyBorder="1" applyAlignment="1">
      <alignment horizontal="center" vertical="center" wrapText="1"/>
    </xf>
    <xf numFmtId="44" fontId="7" fillId="7" borderId="22" xfId="0" applyNumberFormat="1" applyFont="1" applyFill="1" applyBorder="1" applyAlignment="1"/>
    <xf numFmtId="167" fontId="16" fillId="7" borderId="23" xfId="0" applyNumberFormat="1" applyFont="1" applyFill="1" applyBorder="1" applyAlignment="1">
      <alignment vertical="top"/>
    </xf>
    <xf numFmtId="44" fontId="29" fillId="7" borderId="19" xfId="0" applyNumberFormat="1" applyFont="1" applyFill="1" applyBorder="1"/>
    <xf numFmtId="0" fontId="7" fillId="7" borderId="14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44" fontId="11" fillId="3" borderId="1" xfId="61" applyFont="1" applyFill="1" applyBorder="1" applyAlignment="1">
      <alignment horizontal="center" vertical="center" wrapText="1"/>
    </xf>
    <xf numFmtId="44" fontId="12" fillId="3" borderId="1" xfId="6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3" borderId="4" xfId="41" applyNumberFormat="1" applyFont="1" applyFill="1" applyBorder="1" applyAlignment="1">
      <alignment horizontal="center" vertical="center"/>
    </xf>
    <xf numFmtId="0" fontId="11" fillId="0" borderId="1" xfId="43" applyFont="1" applyBorder="1" applyAlignment="1">
      <alignment horizontal="center" vertical="center" wrapText="1"/>
    </xf>
    <xf numFmtId="44" fontId="11" fillId="0" borderId="1" xfId="5" applyFont="1" applyBorder="1" applyAlignment="1">
      <alignment horizontal="center" vertical="center"/>
    </xf>
    <xf numFmtId="0" fontId="24" fillId="0" borderId="1" xfId="41" applyFont="1" applyBorder="1" applyAlignment="1">
      <alignment horizontal="center" vertical="top" wrapText="1"/>
    </xf>
    <xf numFmtId="0" fontId="45" fillId="0" borderId="1" xfId="0" applyFont="1" applyBorder="1" applyAlignment="1">
      <alignment horizontal="center" vertical="center"/>
    </xf>
    <xf numFmtId="0" fontId="24" fillId="0" borderId="32" xfId="41" applyFont="1" applyBorder="1" applyAlignment="1">
      <alignment horizontal="center" vertical="top" wrapText="1"/>
    </xf>
    <xf numFmtId="44" fontId="11" fillId="0" borderId="1" xfId="5" applyFont="1" applyBorder="1" applyAlignment="1">
      <alignment horizontal="center"/>
    </xf>
    <xf numFmtId="44" fontId="11" fillId="3" borderId="1" xfId="41" applyNumberFormat="1" applyFont="1" applyFill="1" applyBorder="1" applyAlignment="1">
      <alignment horizontal="center" vertical="center"/>
    </xf>
    <xf numFmtId="0" fontId="24" fillId="0" borderId="0" xfId="41" applyFont="1" applyAlignment="1">
      <alignment horizontal="center" vertical="top" wrapText="1"/>
    </xf>
    <xf numFmtId="0" fontId="12" fillId="0" borderId="1" xfId="43" applyFont="1" applyBorder="1" applyAlignment="1">
      <alignment horizontal="center" wrapText="1"/>
    </xf>
    <xf numFmtId="44" fontId="11" fillId="0" borderId="1" xfId="61" applyFont="1" applyBorder="1" applyAlignment="1">
      <alignment horizontal="center" wrapText="1"/>
    </xf>
    <xf numFmtId="0" fontId="11" fillId="0" borderId="1" xfId="43" applyFont="1" applyBorder="1" applyAlignment="1">
      <alignment horizontal="center" wrapText="1"/>
    </xf>
    <xf numFmtId="44" fontId="12" fillId="3" borderId="1" xfId="61" applyFont="1" applyFill="1" applyBorder="1" applyAlignment="1">
      <alignment horizontal="center" wrapText="1"/>
    </xf>
    <xf numFmtId="44" fontId="12" fillId="0" borderId="1" xfId="61" applyFont="1" applyBorder="1" applyAlignment="1">
      <alignment horizontal="center" wrapText="1"/>
    </xf>
    <xf numFmtId="44" fontId="12" fillId="0" borderId="1" xfId="43" applyNumberFormat="1" applyFont="1" applyBorder="1" applyAlignment="1">
      <alignment horizontal="center" wrapText="1"/>
    </xf>
    <xf numFmtId="0" fontId="12" fillId="0" borderId="16" xfId="43" applyFont="1" applyBorder="1" applyAlignment="1">
      <alignment horizontal="center" wrapText="1"/>
    </xf>
    <xf numFmtId="44" fontId="11" fillId="0" borderId="16" xfId="61" applyFont="1" applyBorder="1" applyAlignment="1">
      <alignment horizontal="center" wrapText="1"/>
    </xf>
    <xf numFmtId="0" fontId="11" fillId="0" borderId="16" xfId="43" applyFont="1" applyBorder="1" applyAlignment="1">
      <alignment horizontal="center" wrapText="1"/>
    </xf>
    <xf numFmtId="44" fontId="12" fillId="3" borderId="16" xfId="61" applyFont="1" applyFill="1" applyBorder="1" applyAlignment="1">
      <alignment horizontal="center" wrapText="1"/>
    </xf>
    <xf numFmtId="44" fontId="12" fillId="0" borderId="16" xfId="61" applyFont="1" applyBorder="1" applyAlignment="1">
      <alignment horizontal="center" wrapText="1"/>
    </xf>
    <xf numFmtId="44" fontId="12" fillId="0" borderId="16" xfId="43" applyNumberFormat="1" applyFont="1" applyBorder="1" applyAlignment="1">
      <alignment horizontal="center" wrapText="1"/>
    </xf>
    <xf numFmtId="0" fontId="0" fillId="0" borderId="19" xfId="0" applyBorder="1" applyAlignment="1">
      <alignment horizontal="center" vertical="center"/>
    </xf>
    <xf numFmtId="44" fontId="0" fillId="0" borderId="19" xfId="5" applyFont="1" applyBorder="1"/>
    <xf numFmtId="0" fontId="0" fillId="0" borderId="19" xfId="0" applyBorder="1"/>
    <xf numFmtId="44" fontId="0" fillId="0" borderId="19" xfId="0" applyNumberFormat="1" applyBorder="1"/>
    <xf numFmtId="44" fontId="0" fillId="0" borderId="29" xfId="0" applyNumberFormat="1" applyBorder="1"/>
    <xf numFmtId="44" fontId="44" fillId="9" borderId="29" xfId="0" applyNumberFormat="1" applyFont="1" applyFill="1" applyBorder="1"/>
    <xf numFmtId="0" fontId="7" fillId="0" borderId="0" xfId="1" applyFont="1" applyBorder="1" applyAlignment="1">
      <alignment horizontal="left"/>
    </xf>
    <xf numFmtId="0" fontId="2" fillId="0" borderId="0" xfId="1" applyFont="1" applyBorder="1" applyAlignment="1">
      <alignment horizontal="left" wrapText="1"/>
    </xf>
    <xf numFmtId="0" fontId="10" fillId="5" borderId="13" xfId="0" applyFont="1" applyFill="1" applyBorder="1" applyAlignment="1">
      <alignment horizontal="left" vertical="center" wrapText="1"/>
    </xf>
    <xf numFmtId="0" fontId="11" fillId="0" borderId="4" xfId="7" applyFont="1" applyBorder="1" applyAlignment="1">
      <alignment horizontal="left" vertical="center" wrapText="1"/>
    </xf>
    <xf numFmtId="0" fontId="11" fillId="0" borderId="4" xfId="7" applyFont="1" applyBorder="1" applyAlignment="1">
      <alignment horizontal="left" vertical="center"/>
    </xf>
    <xf numFmtId="0" fontId="11" fillId="0" borderId="4" xfId="41" applyFont="1" applyBorder="1" applyAlignment="1">
      <alignment horizontal="left" vertical="center" wrapText="1"/>
    </xf>
    <xf numFmtId="0" fontId="11" fillId="0" borderId="4" xfId="41" applyFont="1" applyBorder="1" applyAlignment="1">
      <alignment horizontal="left" vertical="center"/>
    </xf>
    <xf numFmtId="0" fontId="11" fillId="3" borderId="4" xfId="41" applyFont="1" applyFill="1" applyBorder="1" applyAlignment="1">
      <alignment horizontal="left" vertical="center"/>
    </xf>
    <xf numFmtId="0" fontId="11" fillId="3" borderId="1" xfId="41" applyFont="1" applyFill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44" fillId="0" borderId="18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4" fillId="7" borderId="6" xfId="18" applyFont="1" applyFill="1" applyBorder="1" applyAlignment="1">
      <alignment horizontal="center" vertical="center"/>
    </xf>
    <xf numFmtId="0" fontId="4" fillId="0" borderId="0" xfId="18" applyFont="1" applyBorder="1" applyAlignment="1"/>
    <xf numFmtId="43" fontId="4" fillId="9" borderId="21" xfId="0" applyNumberFormat="1" applyFont="1" applyFill="1" applyBorder="1"/>
    <xf numFmtId="0" fontId="11" fillId="3" borderId="1" xfId="4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4" fontId="2" fillId="0" borderId="4" xfId="21" applyFont="1" applyBorder="1" applyAlignment="1">
      <alignment horizontal="left" vertical="center" wrapText="1"/>
    </xf>
    <xf numFmtId="0" fontId="2" fillId="0" borderId="4" xfId="18" applyFont="1" applyFill="1" applyBorder="1" applyAlignment="1">
      <alignment horizontal="left"/>
    </xf>
    <xf numFmtId="44" fontId="2" fillId="0" borderId="4" xfId="18" applyNumberFormat="1" applyFont="1" applyFill="1" applyBorder="1" applyAlignment="1">
      <alignment horizontal="left"/>
    </xf>
    <xf numFmtId="44" fontId="2" fillId="0" borderId="4" xfId="18" applyNumberFormat="1" applyFont="1" applyBorder="1" applyAlignment="1">
      <alignment horizontal="left"/>
    </xf>
    <xf numFmtId="0" fontId="5" fillId="0" borderId="4" xfId="18" applyFont="1" applyFill="1" applyBorder="1" applyAlignment="1">
      <alignment horizontal="left"/>
    </xf>
    <xf numFmtId="166" fontId="2" fillId="0" borderId="4" xfId="18" applyNumberFormat="1" applyFont="1" applyFill="1" applyBorder="1" applyAlignment="1">
      <alignment horizontal="left"/>
    </xf>
    <xf numFmtId="0" fontId="4" fillId="7" borderId="7" xfId="18" applyFont="1" applyFill="1" applyBorder="1" applyAlignment="1">
      <alignment horizontal="center" vertical="center"/>
    </xf>
    <xf numFmtId="0" fontId="4" fillId="7" borderId="9" xfId="18" applyFont="1" applyFill="1" applyBorder="1" applyAlignment="1">
      <alignment horizontal="center" vertical="center"/>
    </xf>
    <xf numFmtId="0" fontId="4" fillId="7" borderId="10" xfId="18" applyFont="1" applyFill="1" applyBorder="1" applyAlignment="1">
      <alignment horizontal="center" vertical="center"/>
    </xf>
    <xf numFmtId="0" fontId="4" fillId="0" borderId="0" xfId="18" applyFont="1" applyBorder="1" applyAlignment="1">
      <alignment horizontal="center"/>
    </xf>
    <xf numFmtId="0" fontId="2" fillId="0" borderId="4" xfId="18" applyFont="1" applyBorder="1" applyAlignment="1">
      <alignment horizontal="center"/>
    </xf>
    <xf numFmtId="0" fontId="2" fillId="0" borderId="1" xfId="18" applyFont="1" applyBorder="1" applyAlignment="1">
      <alignment horizontal="center"/>
    </xf>
    <xf numFmtId="0" fontId="2" fillId="0" borderId="1" xfId="18" applyFont="1" applyFill="1" applyBorder="1" applyAlignment="1">
      <alignment horizontal="center"/>
    </xf>
    <xf numFmtId="0" fontId="2" fillId="0" borderId="1" xfId="17" applyNumberFormat="1" applyFont="1" applyBorder="1" applyAlignment="1">
      <alignment horizontal="center"/>
    </xf>
    <xf numFmtId="0" fontId="2" fillId="0" borderId="16" xfId="18" applyFont="1" applyBorder="1" applyAlignment="1">
      <alignment horizontal="center"/>
    </xf>
    <xf numFmtId="0" fontId="11" fillId="5" borderId="4" xfId="0" applyFont="1" applyFill="1" applyBorder="1" applyAlignment="1">
      <alignment vertical="center" wrapText="1"/>
    </xf>
    <xf numFmtId="0" fontId="16" fillId="7" borderId="16" xfId="0" applyFont="1" applyFill="1" applyBorder="1" applyAlignment="1">
      <alignment horizontal="center" vertical="center"/>
    </xf>
    <xf numFmtId="0" fontId="43" fillId="7" borderId="16" xfId="0" applyFont="1" applyFill="1" applyBorder="1" applyAlignment="1">
      <alignment horizontal="center" vertical="center"/>
    </xf>
    <xf numFmtId="0" fontId="43" fillId="7" borderId="17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 wrapText="1"/>
    </xf>
    <xf numFmtId="44" fontId="12" fillId="0" borderId="12" xfId="1" applyNumberFormat="1" applyFont="1" applyBorder="1" applyAlignment="1">
      <alignment vertical="center"/>
    </xf>
    <xf numFmtId="44" fontId="12" fillId="0" borderId="14" xfId="1" applyNumberFormat="1" applyFont="1" applyBorder="1" applyAlignment="1">
      <alignment vertical="center"/>
    </xf>
    <xf numFmtId="44" fontId="12" fillId="0" borderId="0" xfId="1" applyNumberFormat="1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44" fontId="12" fillId="0" borderId="17" xfId="1" applyNumberFormat="1" applyFont="1" applyBorder="1" applyAlignment="1">
      <alignment vertical="center"/>
    </xf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28" fillId="4" borderId="9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center"/>
    </xf>
    <xf numFmtId="1" fontId="12" fillId="0" borderId="4" xfId="41" applyNumberFormat="1" applyFont="1" applyFill="1" applyBorder="1" applyAlignment="1">
      <alignment horizontal="center"/>
    </xf>
    <xf numFmtId="0" fontId="12" fillId="0" borderId="4" xfId="41" applyFont="1" applyFill="1" applyBorder="1" applyAlignment="1">
      <alignment horizontal="center"/>
    </xf>
    <xf numFmtId="44" fontId="12" fillId="0" borderId="4" xfId="24" applyFont="1" applyFill="1" applyBorder="1" applyAlignment="1">
      <alignment horizontal="center"/>
    </xf>
    <xf numFmtId="44" fontId="12" fillId="0" borderId="4" xfId="24" applyNumberFormat="1" applyFont="1" applyFill="1" applyBorder="1"/>
    <xf numFmtId="168" fontId="12" fillId="0" borderId="4" xfId="24" applyNumberFormat="1" applyFont="1" applyFill="1" applyBorder="1"/>
    <xf numFmtId="168" fontId="12" fillId="0" borderId="52" xfId="24" applyNumberFormat="1" applyFont="1" applyFill="1" applyBorder="1"/>
    <xf numFmtId="168" fontId="12" fillId="0" borderId="12" xfId="24" applyNumberFormat="1" applyFont="1" applyFill="1" applyBorder="1"/>
    <xf numFmtId="0" fontId="13" fillId="2" borderId="9" xfId="41" applyFont="1" applyFill="1" applyBorder="1" applyAlignment="1">
      <alignment horizontal="center" vertical="center" wrapText="1"/>
    </xf>
    <xf numFmtId="0" fontId="13" fillId="2" borderId="9" xfId="24" applyNumberFormat="1" applyFont="1" applyFill="1" applyBorder="1" applyAlignment="1">
      <alignment horizontal="center" vertical="center" wrapText="1"/>
    </xf>
    <xf numFmtId="0" fontId="13" fillId="2" borderId="10" xfId="24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4" xfId="0" applyFont="1" applyBorder="1" applyAlignment="1">
      <alignment horizontal="center" vertical="top"/>
    </xf>
    <xf numFmtId="167" fontId="10" fillId="0" borderId="4" xfId="0" applyNumberFormat="1" applyFont="1" applyBorder="1" applyAlignment="1">
      <alignment horizontal="right" vertical="top"/>
    </xf>
    <xf numFmtId="0" fontId="10" fillId="0" borderId="4" xfId="0" applyFont="1" applyBorder="1" applyAlignment="1">
      <alignment horizontal="center" vertical="center"/>
    </xf>
    <xf numFmtId="167" fontId="10" fillId="0" borderId="4" xfId="0" applyNumberFormat="1" applyFont="1" applyBorder="1" applyAlignment="1">
      <alignment vertical="top"/>
    </xf>
    <xf numFmtId="167" fontId="10" fillId="0" borderId="4" xfId="4" applyNumberFormat="1" applyFont="1" applyBorder="1" applyAlignment="1">
      <alignment horizontal="right" vertical="top"/>
    </xf>
    <xf numFmtId="167" fontId="27" fillId="3" borderId="4" xfId="0" applyNumberFormat="1" applyFont="1" applyFill="1" applyBorder="1" applyAlignment="1">
      <alignment horizontal="center"/>
    </xf>
    <xf numFmtId="3" fontId="16" fillId="6" borderId="9" xfId="0" applyNumberFormat="1" applyFont="1" applyFill="1" applyBorder="1" applyAlignment="1">
      <alignment horizontal="center"/>
    </xf>
    <xf numFmtId="3" fontId="16" fillId="6" borderId="10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/>
    </xf>
    <xf numFmtId="44" fontId="11" fillId="0" borderId="4" xfId="0" applyNumberFormat="1" applyFont="1" applyFill="1" applyBorder="1"/>
    <xf numFmtId="0" fontId="12" fillId="0" borderId="4" xfId="0" applyFont="1" applyFill="1" applyBorder="1" applyAlignment="1">
      <alignment horizontal="center"/>
    </xf>
    <xf numFmtId="0" fontId="11" fillId="0" borderId="4" xfId="0" applyFont="1" applyFill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0" xfId="18" applyFont="1" applyBorder="1" applyAlignment="1">
      <alignment horizontal="center"/>
    </xf>
    <xf numFmtId="0" fontId="12" fillId="0" borderId="0" xfId="0" applyFont="1"/>
    <xf numFmtId="0" fontId="4" fillId="7" borderId="9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 wrapText="1"/>
    </xf>
    <xf numFmtId="0" fontId="12" fillId="0" borderId="26" xfId="0" applyFont="1" applyBorder="1" applyAlignment="1">
      <alignment horizontal="center"/>
    </xf>
    <xf numFmtId="167" fontId="12" fillId="0" borderId="4" xfId="58" applyNumberFormat="1" applyFont="1" applyBorder="1" applyAlignment="1">
      <alignment horizontal="right" wrapText="1"/>
    </xf>
    <xf numFmtId="0" fontId="12" fillId="0" borderId="4" xfId="0" applyFont="1" applyBorder="1" applyAlignment="1">
      <alignment horizontal="center"/>
    </xf>
    <xf numFmtId="167" fontId="12" fillId="0" borderId="26" xfId="58" applyNumberFormat="1" applyFont="1" applyBorder="1" applyAlignment="1">
      <alignment horizontal="right"/>
    </xf>
    <xf numFmtId="167" fontId="12" fillId="0" borderId="4" xfId="58" applyNumberFormat="1" applyFont="1" applyBorder="1" applyAlignment="1">
      <alignment horizontal="right"/>
    </xf>
    <xf numFmtId="167" fontId="12" fillId="0" borderId="4" xfId="0" applyNumberFormat="1" applyFont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2" fillId="0" borderId="4" xfId="59" applyNumberFormat="1" applyFont="1" applyBorder="1" applyAlignment="1">
      <alignment horizontal="right"/>
    </xf>
    <xf numFmtId="0" fontId="12" fillId="0" borderId="1" xfId="0" applyFont="1" applyBorder="1" applyAlignment="1">
      <alignment vertical="center" wrapText="1"/>
    </xf>
    <xf numFmtId="167" fontId="12" fillId="0" borderId="1" xfId="58" applyNumberFormat="1" applyFont="1" applyBorder="1" applyAlignment="1">
      <alignment horizontal="right"/>
    </xf>
    <xf numFmtId="167" fontId="12" fillId="0" borderId="1" xfId="0" applyNumberFormat="1" applyFont="1" applyBorder="1" applyAlignment="1">
      <alignment horizontal="right"/>
    </xf>
    <xf numFmtId="167" fontId="12" fillId="0" borderId="1" xfId="59" applyNumberFormat="1" applyFont="1" applyBorder="1" applyAlignment="1">
      <alignment horizontal="right"/>
    </xf>
    <xf numFmtId="0" fontId="12" fillId="0" borderId="27" xfId="0" applyFont="1" applyBorder="1" applyAlignment="1">
      <alignment horizontal="center"/>
    </xf>
    <xf numFmtId="167" fontId="12" fillId="0" borderId="1" xfId="58" applyNumberFormat="1" applyFont="1" applyBorder="1"/>
    <xf numFmtId="167" fontId="12" fillId="0" borderId="1" xfId="0" applyNumberFormat="1" applyFont="1" applyFill="1" applyBorder="1" applyAlignment="1">
      <alignment horizontal="right"/>
    </xf>
    <xf numFmtId="167" fontId="12" fillId="0" borderId="1" xfId="58" applyNumberFormat="1" applyFont="1" applyFill="1" applyBorder="1" applyAlignment="1">
      <alignment vertical="center"/>
    </xf>
    <xf numFmtId="167" fontId="12" fillId="0" borderId="1" xfId="58" applyNumberFormat="1" applyFont="1" applyFill="1" applyBorder="1" applyAlignment="1">
      <alignment horizontal="right"/>
    </xf>
    <xf numFmtId="167" fontId="12" fillId="0" borderId="1" xfId="59" applyNumberFormat="1" applyFont="1" applyFill="1" applyBorder="1" applyAlignment="1">
      <alignment horizontal="right"/>
    </xf>
    <xf numFmtId="0" fontId="12" fillId="0" borderId="27" xfId="0" applyFont="1" applyBorder="1" applyAlignment="1">
      <alignment horizontal="center" vertical="center"/>
    </xf>
    <xf numFmtId="167" fontId="12" fillId="0" borderId="1" xfId="58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7" fontId="12" fillId="0" borderId="1" xfId="58" applyNumberFormat="1" applyFont="1" applyFill="1" applyBorder="1"/>
    <xf numFmtId="7" fontId="12" fillId="0" borderId="1" xfId="58" applyNumberFormat="1" applyFont="1" applyBorder="1"/>
    <xf numFmtId="167" fontId="12" fillId="0" borderId="27" xfId="58" applyNumberFormat="1" applyFont="1" applyBorder="1" applyAlignment="1">
      <alignment horizontal="right"/>
    </xf>
    <xf numFmtId="0" fontId="12" fillId="0" borderId="16" xfId="0" applyFont="1" applyBorder="1" applyAlignment="1">
      <alignment vertical="center" wrapText="1"/>
    </xf>
    <xf numFmtId="0" fontId="12" fillId="0" borderId="28" xfId="0" applyFont="1" applyBorder="1" applyAlignment="1">
      <alignment horizontal="center"/>
    </xf>
    <xf numFmtId="7" fontId="12" fillId="0" borderId="16" xfId="58" applyNumberFormat="1" applyFont="1" applyBorder="1"/>
    <xf numFmtId="167" fontId="12" fillId="0" borderId="16" xfId="0" applyNumberFormat="1" applyFont="1" applyBorder="1" applyAlignment="1">
      <alignment horizontal="right"/>
    </xf>
    <xf numFmtId="167" fontId="12" fillId="0" borderId="16" xfId="0" applyNumberFormat="1" applyFont="1" applyFill="1" applyBorder="1" applyAlignment="1">
      <alignment horizontal="right"/>
    </xf>
    <xf numFmtId="167" fontId="12" fillId="0" borderId="16" xfId="58" applyNumberFormat="1" applyFont="1" applyBorder="1" applyAlignment="1">
      <alignment horizontal="right"/>
    </xf>
    <xf numFmtId="167" fontId="12" fillId="0" borderId="16" xfId="59" applyNumberFormat="1" applyFont="1" applyBorder="1" applyAlignment="1">
      <alignment horizontal="right"/>
    </xf>
    <xf numFmtId="43" fontId="12" fillId="0" borderId="16" xfId="58" applyFont="1" applyBorder="1"/>
    <xf numFmtId="0" fontId="12" fillId="0" borderId="16" xfId="0" applyFont="1" applyBorder="1" applyAlignment="1">
      <alignment horizontal="center"/>
    </xf>
    <xf numFmtId="0" fontId="14" fillId="0" borderId="21" xfId="0" applyFont="1" applyBorder="1" applyAlignment="1"/>
    <xf numFmtId="0" fontId="14" fillId="0" borderId="23" xfId="0" applyFont="1" applyBorder="1" applyAlignment="1">
      <alignment horizontal="center"/>
    </xf>
    <xf numFmtId="0" fontId="14" fillId="0" borderId="22" xfId="0" applyFont="1" applyBorder="1" applyAlignment="1"/>
    <xf numFmtId="0" fontId="14" fillId="0" borderId="24" xfId="0" applyFont="1" applyBorder="1" applyAlignment="1">
      <alignment horizontal="center"/>
    </xf>
    <xf numFmtId="167" fontId="14" fillId="0" borderId="21" xfId="58" applyNumberFormat="1" applyFont="1" applyBorder="1" applyAlignment="1">
      <alignment horizontal="right"/>
    </xf>
    <xf numFmtId="167" fontId="14" fillId="0" borderId="23" xfId="58" applyNumberFormat="1" applyFont="1" applyBorder="1" applyAlignment="1">
      <alignment horizontal="right"/>
    </xf>
    <xf numFmtId="167" fontId="14" fillId="0" borderId="21" xfId="58" applyNumberFormat="1" applyFont="1" applyFill="1" applyBorder="1" applyAlignment="1">
      <alignment horizontal="right"/>
    </xf>
    <xf numFmtId="167" fontId="14" fillId="0" borderId="21" xfId="0" applyNumberFormat="1" applyFont="1" applyBorder="1" applyAlignment="1">
      <alignment horizontal="right"/>
    </xf>
    <xf numFmtId="167" fontId="14" fillId="0" borderId="21" xfId="59" applyNumberFormat="1" applyFont="1" applyBorder="1" applyAlignment="1">
      <alignment horizontal="right"/>
    </xf>
    <xf numFmtId="167" fontId="14" fillId="0" borderId="16" xfId="59" applyNumberFormat="1" applyFont="1" applyBorder="1" applyAlignment="1">
      <alignment horizontal="right"/>
    </xf>
    <xf numFmtId="167" fontId="12" fillId="0" borderId="0" xfId="0" applyNumberFormat="1" applyFont="1"/>
    <xf numFmtId="167" fontId="4" fillId="7" borderId="21" xfId="0" applyNumberFormat="1" applyFont="1" applyFill="1" applyBorder="1"/>
    <xf numFmtId="0" fontId="12" fillId="0" borderId="0" xfId="0" applyFont="1" applyAlignment="1">
      <alignment horizontal="center"/>
    </xf>
    <xf numFmtId="167" fontId="12" fillId="0" borderId="0" xfId="0" applyNumberFormat="1" applyFont="1" applyFill="1"/>
    <xf numFmtId="167" fontId="14" fillId="0" borderId="0" xfId="0" applyNumberFormat="1" applyFont="1"/>
    <xf numFmtId="0" fontId="6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44" fontId="2" fillId="0" borderId="6" xfId="5" applyFont="1" applyBorder="1"/>
    <xf numFmtId="0" fontId="39" fillId="0" borderId="6" xfId="0" applyFont="1" applyFill="1" applyBorder="1" applyAlignment="1">
      <alignment horizontal="center" vertical="center" wrapText="1"/>
    </xf>
    <xf numFmtId="43" fontId="2" fillId="0" borderId="6" xfId="4" applyFont="1" applyBorder="1"/>
    <xf numFmtId="44" fontId="2" fillId="0" borderId="6" xfId="0" applyNumberFormat="1" applyFont="1" applyBorder="1"/>
    <xf numFmtId="0" fontId="6" fillId="5" borderId="8" xfId="0" applyFont="1" applyFill="1" applyBorder="1" applyAlignment="1">
      <alignment vertical="center" wrapText="1"/>
    </xf>
    <xf numFmtId="0" fontId="2" fillId="0" borderId="9" xfId="0" applyFont="1" applyBorder="1" applyAlignment="1">
      <alignment horizontal="center"/>
    </xf>
    <xf numFmtId="43" fontId="19" fillId="0" borderId="9" xfId="4" applyFont="1" applyFill="1" applyBorder="1" applyAlignment="1">
      <alignment horizontal="right"/>
    </xf>
    <xf numFmtId="0" fontId="39" fillId="0" borderId="9" xfId="0" applyFont="1" applyFill="1" applyBorder="1" applyAlignment="1">
      <alignment horizontal="center" vertical="center" wrapText="1"/>
    </xf>
    <xf numFmtId="44" fontId="2" fillId="0" borderId="9" xfId="0" applyNumberFormat="1" applyFont="1" applyBorder="1"/>
    <xf numFmtId="43" fontId="2" fillId="0" borderId="9" xfId="4" applyFont="1" applyBorder="1"/>
    <xf numFmtId="0" fontId="20" fillId="0" borderId="7" xfId="0" applyFont="1" applyBorder="1"/>
    <xf numFmtId="0" fontId="20" fillId="0" borderId="14" xfId="0" applyFont="1" applyBorder="1"/>
    <xf numFmtId="44" fontId="19" fillId="0" borderId="1" xfId="4" applyNumberFormat="1" applyFont="1" applyFill="1" applyBorder="1" applyAlignment="1">
      <alignment horizontal="right"/>
    </xf>
    <xf numFmtId="0" fontId="20" fillId="0" borderId="1" xfId="0" applyFont="1" applyBorder="1"/>
    <xf numFmtId="44" fontId="2" fillId="0" borderId="9" xfId="5" applyFont="1" applyBorder="1"/>
    <xf numFmtId="44" fontId="20" fillId="0" borderId="10" xfId="0" applyNumberFormat="1" applyFont="1" applyBorder="1"/>
    <xf numFmtId="44" fontId="20" fillId="0" borderId="25" xfId="0" applyNumberFormat="1" applyFont="1" applyBorder="1"/>
    <xf numFmtId="44" fontId="20" fillId="0" borderId="0" xfId="0" applyNumberFormat="1" applyFont="1"/>
    <xf numFmtId="44" fontId="20" fillId="0" borderId="0" xfId="0" applyNumberFormat="1" applyFont="1" applyAlignment="1">
      <alignment wrapText="1"/>
    </xf>
    <xf numFmtId="44" fontId="12" fillId="0" borderId="1" xfId="0" applyNumberFormat="1" applyFont="1" applyBorder="1"/>
    <xf numFmtId="0" fontId="22" fillId="0" borderId="2" xfId="0" applyFont="1" applyBorder="1" applyAlignment="1">
      <alignment horizontal="right"/>
    </xf>
    <xf numFmtId="0" fontId="22" fillId="0" borderId="53" xfId="0" applyFont="1" applyBorder="1" applyAlignment="1">
      <alignment horizontal="right"/>
    </xf>
    <xf numFmtId="0" fontId="22" fillId="0" borderId="62" xfId="0" applyFont="1" applyBorder="1" applyAlignment="1">
      <alignment horizontal="right"/>
    </xf>
    <xf numFmtId="0" fontId="22" fillId="0" borderId="63" xfId="0" applyFont="1" applyBorder="1" applyAlignment="1">
      <alignment horizontal="right"/>
    </xf>
    <xf numFmtId="0" fontId="22" fillId="0" borderId="64" xfId="0" applyFont="1" applyBorder="1" applyAlignment="1">
      <alignment horizontal="right"/>
    </xf>
    <xf numFmtId="0" fontId="4" fillId="9" borderId="22" xfId="0" applyFont="1" applyFill="1" applyBorder="1" applyAlignment="1">
      <alignment horizontal="right"/>
    </xf>
    <xf numFmtId="0" fontId="4" fillId="9" borderId="23" xfId="0" applyFont="1" applyFill="1" applyBorder="1" applyAlignment="1">
      <alignment horizontal="right"/>
    </xf>
    <xf numFmtId="0" fontId="4" fillId="9" borderId="24" xfId="0" applyFont="1" applyFill="1" applyBorder="1" applyAlignment="1">
      <alignment horizontal="right"/>
    </xf>
    <xf numFmtId="0" fontId="4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 wrapText="1"/>
    </xf>
    <xf numFmtId="0" fontId="26" fillId="4" borderId="6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/>
    </xf>
    <xf numFmtId="0" fontId="22" fillId="4" borderId="30" xfId="0" applyFont="1" applyFill="1" applyBorder="1" applyAlignment="1">
      <alignment horizontal="center" vertical="center"/>
    </xf>
    <xf numFmtId="0" fontId="22" fillId="4" borderId="31" xfId="0" applyFont="1" applyFill="1" applyBorder="1" applyAlignment="1">
      <alignment horizontal="center" vertical="center"/>
    </xf>
    <xf numFmtId="0" fontId="22" fillId="4" borderId="43" xfId="0" applyFont="1" applyFill="1" applyBorder="1" applyAlignment="1">
      <alignment horizontal="center" vertical="center"/>
    </xf>
    <xf numFmtId="0" fontId="7" fillId="7" borderId="22" xfId="7" applyFont="1" applyFill="1" applyBorder="1" applyAlignment="1">
      <alignment horizontal="right"/>
    </xf>
    <xf numFmtId="0" fontId="7" fillId="7" borderId="23" xfId="7" applyFont="1" applyFill="1" applyBorder="1" applyAlignment="1">
      <alignment horizontal="right"/>
    </xf>
    <xf numFmtId="0" fontId="7" fillId="7" borderId="24" xfId="7" applyFont="1" applyFill="1" applyBorder="1" applyAlignment="1">
      <alignment horizontal="right"/>
    </xf>
    <xf numFmtId="0" fontId="5" fillId="0" borderId="0" xfId="15" applyFont="1" applyBorder="1" applyAlignment="1">
      <alignment horizontal="left" vertical="center" wrapText="1"/>
    </xf>
    <xf numFmtId="0" fontId="7" fillId="7" borderId="16" xfId="7" applyFont="1" applyFill="1" applyBorder="1" applyAlignment="1">
      <alignment horizontal="center" vertical="center" wrapText="1"/>
    </xf>
    <xf numFmtId="0" fontId="7" fillId="7" borderId="4" xfId="7" applyFont="1" applyFill="1" applyBorder="1" applyAlignment="1">
      <alignment horizontal="center" vertical="center" wrapText="1"/>
    </xf>
    <xf numFmtId="0" fontId="13" fillId="7" borderId="16" xfId="7" applyFont="1" applyFill="1" applyBorder="1" applyAlignment="1">
      <alignment horizontal="center" vertical="center" wrapText="1"/>
    </xf>
    <xf numFmtId="0" fontId="13" fillId="7" borderId="4" xfId="7" applyFont="1" applyFill="1" applyBorder="1" applyAlignment="1">
      <alignment horizontal="center" vertical="center" wrapText="1"/>
    </xf>
    <xf numFmtId="0" fontId="7" fillId="7" borderId="32" xfId="7" applyFont="1" applyFill="1" applyBorder="1" applyAlignment="1">
      <alignment horizontal="center" vertical="center" wrapText="1"/>
    </xf>
    <xf numFmtId="0" fontId="7" fillId="7" borderId="40" xfId="7" applyFont="1" applyFill="1" applyBorder="1" applyAlignment="1">
      <alignment horizontal="center" vertical="center" wrapText="1"/>
    </xf>
    <xf numFmtId="0" fontId="7" fillId="7" borderId="4" xfId="7" applyFont="1" applyFill="1" applyBorder="1" applyAlignment="1">
      <alignment horizontal="right"/>
    </xf>
    <xf numFmtId="0" fontId="7" fillId="7" borderId="27" xfId="7" applyFont="1" applyFill="1" applyBorder="1" applyAlignment="1">
      <alignment horizontal="center" vertical="center" wrapText="1"/>
    </xf>
    <xf numFmtId="44" fontId="7" fillId="7" borderId="6" xfId="1" applyNumberFormat="1" applyFont="1" applyFill="1" applyBorder="1" applyAlignment="1">
      <alignment horizontal="center" vertical="center" wrapText="1"/>
    </xf>
    <xf numFmtId="44" fontId="7" fillId="7" borderId="7" xfId="1" applyNumberFormat="1" applyFont="1" applyFill="1" applyBorder="1" applyAlignment="1">
      <alignment horizontal="center" vertical="center" wrapText="1"/>
    </xf>
    <xf numFmtId="0" fontId="44" fillId="9" borderId="22" xfId="0" applyFont="1" applyFill="1" applyBorder="1" applyAlignment="1">
      <alignment horizontal="center"/>
    </xf>
    <xf numFmtId="0" fontId="44" fillId="9" borderId="33" xfId="0" applyFont="1" applyFill="1" applyBorder="1" applyAlignment="1">
      <alignment horizontal="center"/>
    </xf>
    <xf numFmtId="0" fontId="7" fillId="7" borderId="41" xfId="1" applyFont="1" applyFill="1" applyBorder="1" applyAlignment="1">
      <alignment horizontal="center" vertical="center" wrapText="1"/>
    </xf>
    <xf numFmtId="0" fontId="7" fillId="7" borderId="11" xfId="1" applyFont="1" applyFill="1" applyBorder="1" applyAlignment="1">
      <alignment horizontal="center" vertical="center" wrapText="1"/>
    </xf>
    <xf numFmtId="0" fontId="7" fillId="7" borderId="6" xfId="1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5" fillId="7" borderId="49" xfId="15" applyFont="1" applyFill="1" applyBorder="1" applyAlignment="1">
      <alignment horizontal="center" vertical="center"/>
    </xf>
    <xf numFmtId="0" fontId="5" fillId="7" borderId="34" xfId="15" applyFont="1" applyFill="1" applyBorder="1" applyAlignment="1">
      <alignment horizontal="center" vertical="center"/>
    </xf>
    <xf numFmtId="0" fontId="7" fillId="7" borderId="18" xfId="15" applyFont="1" applyFill="1" applyBorder="1" applyAlignment="1">
      <alignment horizontal="right"/>
    </xf>
    <xf numFmtId="0" fontId="7" fillId="7" borderId="19" xfId="15" applyFont="1" applyFill="1" applyBorder="1" applyAlignment="1">
      <alignment horizontal="right"/>
    </xf>
    <xf numFmtId="0" fontId="7" fillId="7" borderId="29" xfId="15" applyFont="1" applyFill="1" applyBorder="1" applyAlignment="1">
      <alignment horizontal="right"/>
    </xf>
    <xf numFmtId="0" fontId="14" fillId="0" borderId="22" xfId="15" applyFont="1" applyBorder="1" applyAlignment="1">
      <alignment horizontal="center"/>
    </xf>
    <xf numFmtId="0" fontId="14" fillId="0" borderId="23" xfId="15" applyFont="1" applyBorder="1" applyAlignment="1">
      <alignment horizontal="center"/>
    </xf>
    <xf numFmtId="0" fontId="14" fillId="0" borderId="24" xfId="15" applyFont="1" applyBorder="1" applyAlignment="1">
      <alignment horizontal="center"/>
    </xf>
    <xf numFmtId="0" fontId="5" fillId="7" borderId="5" xfId="15" applyFont="1" applyFill="1" applyBorder="1" applyAlignment="1">
      <alignment horizontal="center" vertical="center" wrapText="1"/>
    </xf>
    <xf numFmtId="0" fontId="5" fillId="7" borderId="15" xfId="15" applyFont="1" applyFill="1" applyBorder="1" applyAlignment="1">
      <alignment horizontal="center" vertical="center"/>
    </xf>
    <xf numFmtId="0" fontId="5" fillId="7" borderId="6" xfId="15" applyFont="1" applyFill="1" applyBorder="1" applyAlignment="1">
      <alignment horizontal="center" vertical="center"/>
    </xf>
    <xf numFmtId="0" fontId="5" fillId="7" borderId="16" xfId="15" applyFont="1" applyFill="1" applyBorder="1" applyAlignment="1">
      <alignment horizontal="center" vertical="center"/>
    </xf>
    <xf numFmtId="0" fontId="5" fillId="7" borderId="6" xfId="15" applyFont="1" applyFill="1" applyBorder="1" applyAlignment="1">
      <alignment horizontal="center" vertical="center" wrapText="1"/>
    </xf>
    <xf numFmtId="169" fontId="5" fillId="7" borderId="3" xfId="15" applyNumberFormat="1" applyFont="1" applyFill="1" applyBorder="1" applyAlignment="1">
      <alignment horizontal="center" vertical="center" wrapText="1"/>
    </xf>
    <xf numFmtId="169" fontId="5" fillId="7" borderId="4" xfId="15" applyNumberFormat="1" applyFont="1" applyFill="1" applyBorder="1" applyAlignment="1">
      <alignment horizontal="center" vertical="center" wrapText="1"/>
    </xf>
    <xf numFmtId="0" fontId="5" fillId="7" borderId="3" xfId="15" applyFont="1" applyFill="1" applyBorder="1" applyAlignment="1">
      <alignment horizontal="center" vertical="center" wrapText="1"/>
    </xf>
    <xf numFmtId="0" fontId="5" fillId="7" borderId="4" xfId="15" applyFont="1" applyFill="1" applyBorder="1" applyAlignment="1">
      <alignment horizontal="center" vertical="center" wrapText="1"/>
    </xf>
    <xf numFmtId="0" fontId="5" fillId="7" borderId="16" xfId="15" applyFont="1" applyFill="1" applyBorder="1" applyAlignment="1">
      <alignment horizontal="center" vertical="center" wrapText="1"/>
    </xf>
    <xf numFmtId="0" fontId="5" fillId="7" borderId="7" xfId="15" applyFont="1" applyFill="1" applyBorder="1" applyAlignment="1">
      <alignment horizontal="center" vertical="center"/>
    </xf>
    <xf numFmtId="0" fontId="4" fillId="7" borderId="5" xfId="18" applyFont="1" applyFill="1" applyBorder="1" applyAlignment="1">
      <alignment horizontal="center" vertical="center" wrapText="1"/>
    </xf>
    <xf numFmtId="0" fontId="4" fillId="7" borderId="8" xfId="18" applyFont="1" applyFill="1" applyBorder="1"/>
    <xf numFmtId="0" fontId="4" fillId="7" borderId="6" xfId="18" applyFont="1" applyFill="1" applyBorder="1" applyAlignment="1">
      <alignment horizontal="center" vertical="center"/>
    </xf>
    <xf numFmtId="0" fontId="4" fillId="7" borderId="9" xfId="18" applyFont="1" applyFill="1" applyBorder="1" applyAlignment="1">
      <alignment horizontal="center"/>
    </xf>
    <xf numFmtId="0" fontId="4" fillId="7" borderId="6" xfId="18" applyFont="1" applyFill="1" applyBorder="1" applyAlignment="1">
      <alignment horizontal="center" vertical="center" wrapText="1"/>
    </xf>
    <xf numFmtId="0" fontId="4" fillId="7" borderId="9" xfId="18" applyFont="1" applyFill="1" applyBorder="1"/>
    <xf numFmtId="0" fontId="4" fillId="7" borderId="9" xfId="18" applyFont="1" applyFill="1" applyBorder="1" applyAlignment="1">
      <alignment wrapText="1"/>
    </xf>
    <xf numFmtId="0" fontId="4" fillId="7" borderId="6" xfId="18" applyFont="1" applyFill="1" applyBorder="1"/>
    <xf numFmtId="0" fontId="4" fillId="0" borderId="39" xfId="18" applyFont="1" applyBorder="1" applyAlignment="1"/>
    <xf numFmtId="0" fontId="4" fillId="0" borderId="55" xfId="18" applyFont="1" applyBorder="1" applyAlignment="1"/>
    <xf numFmtId="0" fontId="4" fillId="0" borderId="28" xfId="18" applyFont="1" applyBorder="1" applyAlignment="1"/>
    <xf numFmtId="0" fontId="4" fillId="0" borderId="0" xfId="18" applyFont="1" applyBorder="1" applyAlignment="1"/>
    <xf numFmtId="0" fontId="4" fillId="7" borderId="22" xfId="0" applyFont="1" applyFill="1" applyBorder="1" applyAlignment="1">
      <alignment horizontal="right"/>
    </xf>
    <xf numFmtId="0" fontId="4" fillId="7" borderId="23" xfId="0" applyFont="1" applyFill="1" applyBorder="1" applyAlignment="1">
      <alignment horizontal="right"/>
    </xf>
    <xf numFmtId="0" fontId="4" fillId="7" borderId="24" xfId="0" applyFont="1" applyFill="1" applyBorder="1" applyAlignment="1">
      <alignment horizontal="right"/>
    </xf>
    <xf numFmtId="0" fontId="4" fillId="0" borderId="0" xfId="18" applyFont="1" applyBorder="1" applyAlignment="1">
      <alignment horizontal="left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7" borderId="7" xfId="18" applyFont="1" applyFill="1" applyBorder="1" applyAlignment="1">
      <alignment horizontal="center" vertical="center" wrapText="1"/>
    </xf>
    <xf numFmtId="0" fontId="5" fillId="0" borderId="0" xfId="18" applyFont="1" applyBorder="1" applyAlignment="1">
      <alignment horizontal="left" vertical="center" wrapText="1"/>
    </xf>
    <xf numFmtId="0" fontId="5" fillId="4" borderId="30" xfId="18" applyFont="1" applyFill="1" applyBorder="1" applyAlignment="1">
      <alignment horizontal="center" vertical="center"/>
    </xf>
    <xf numFmtId="0" fontId="5" fillId="4" borderId="31" xfId="18" applyFont="1" applyFill="1" applyBorder="1" applyAlignment="1">
      <alignment horizontal="center" vertical="center"/>
    </xf>
    <xf numFmtId="0" fontId="5" fillId="4" borderId="43" xfId="18" applyFont="1" applyFill="1" applyBorder="1" applyAlignment="1">
      <alignment horizontal="center" vertical="center"/>
    </xf>
    <xf numFmtId="0" fontId="4" fillId="7" borderId="22" xfId="18" applyFont="1" applyFill="1" applyBorder="1" applyAlignment="1">
      <alignment horizontal="right"/>
    </xf>
    <xf numFmtId="0" fontId="4" fillId="7" borderId="23" xfId="18" applyFont="1" applyFill="1" applyBorder="1" applyAlignment="1">
      <alignment horizontal="right"/>
    </xf>
    <xf numFmtId="0" fontId="4" fillId="7" borderId="24" xfId="18" applyFont="1" applyFill="1" applyBorder="1" applyAlignment="1">
      <alignment horizontal="right"/>
    </xf>
    <xf numFmtId="0" fontId="5" fillId="4" borderId="5" xfId="18" applyFont="1" applyFill="1" applyBorder="1" applyAlignment="1">
      <alignment horizontal="center" vertical="center" wrapText="1"/>
    </xf>
    <xf numFmtId="0" fontId="5" fillId="4" borderId="8" xfId="18" applyFont="1" applyFill="1" applyBorder="1" applyAlignment="1">
      <alignment horizontal="center" vertical="center"/>
    </xf>
    <xf numFmtId="0" fontId="5" fillId="4" borderId="6" xfId="18" applyFont="1" applyFill="1" applyBorder="1" applyAlignment="1">
      <alignment horizontal="center" vertical="center"/>
    </xf>
    <xf numFmtId="0" fontId="5" fillId="4" borderId="9" xfId="18" applyFont="1" applyFill="1" applyBorder="1" applyAlignment="1">
      <alignment horizontal="center" vertical="center"/>
    </xf>
    <xf numFmtId="0" fontId="4" fillId="7" borderId="9" xfId="18" applyFont="1" applyFill="1" applyBorder="1" applyAlignment="1">
      <alignment horizontal="center" vertical="center" wrapText="1"/>
    </xf>
    <xf numFmtId="44" fontId="5" fillId="4" borderId="6" xfId="18" applyNumberFormat="1" applyFont="1" applyFill="1" applyBorder="1" applyAlignment="1">
      <alignment horizontal="center" vertical="center" wrapText="1"/>
    </xf>
    <xf numFmtId="44" fontId="5" fillId="4" borderId="9" xfId="18" applyNumberFormat="1" applyFont="1" applyFill="1" applyBorder="1" applyAlignment="1">
      <alignment horizontal="center" vertical="center"/>
    </xf>
    <xf numFmtId="0" fontId="5" fillId="4" borderId="6" xfId="18" applyFont="1" applyFill="1" applyBorder="1" applyAlignment="1">
      <alignment horizontal="center" vertical="center" wrapText="1"/>
    </xf>
    <xf numFmtId="0" fontId="17" fillId="3" borderId="18" xfId="0" applyFont="1" applyFill="1" applyBorder="1" applyAlignment="1">
      <alignment horizontal="right"/>
    </xf>
    <xf numFmtId="0" fontId="17" fillId="3" borderId="19" xfId="0" applyFont="1" applyFill="1" applyBorder="1" applyAlignment="1">
      <alignment horizontal="right"/>
    </xf>
    <xf numFmtId="0" fontId="13" fillId="7" borderId="22" xfId="0" applyFont="1" applyFill="1" applyBorder="1" applyAlignment="1">
      <alignment horizontal="right"/>
    </xf>
    <xf numFmtId="0" fontId="13" fillId="7" borderId="23" xfId="0" applyFont="1" applyFill="1" applyBorder="1" applyAlignment="1">
      <alignment horizontal="right"/>
    </xf>
    <xf numFmtId="0" fontId="13" fillId="7" borderId="24" xfId="0" applyFont="1" applyFill="1" applyBorder="1" applyAlignment="1">
      <alignment horizontal="right"/>
    </xf>
    <xf numFmtId="0" fontId="16" fillId="7" borderId="41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3" xfId="0" applyFont="1" applyFill="1" applyBorder="1" applyAlignment="1">
      <alignment horizontal="center" vertical="center" wrapText="1"/>
    </xf>
    <xf numFmtId="0" fontId="16" fillId="7" borderId="4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0" fontId="16" fillId="7" borderId="6" xfId="0" applyFont="1" applyFill="1" applyBorder="1" applyAlignment="1">
      <alignment horizontal="center" vertical="center"/>
    </xf>
    <xf numFmtId="0" fontId="16" fillId="7" borderId="16" xfId="0" applyFont="1" applyFill="1" applyBorder="1" applyAlignment="1">
      <alignment horizontal="center" vertical="center"/>
    </xf>
    <xf numFmtId="0" fontId="16" fillId="7" borderId="6" xfId="0" applyFont="1" applyFill="1" applyBorder="1" applyAlignment="1">
      <alignment horizontal="center" vertical="center" wrapText="1"/>
    </xf>
    <xf numFmtId="0" fontId="16" fillId="7" borderId="16" xfId="0" applyFont="1" applyFill="1" applyBorder="1" applyAlignment="1">
      <alignment horizontal="center" vertical="center" wrapText="1"/>
    </xf>
    <xf numFmtId="0" fontId="16" fillId="7" borderId="30" xfId="0" applyFont="1" applyFill="1" applyBorder="1" applyAlignment="1">
      <alignment horizontal="center" vertical="center"/>
    </xf>
    <xf numFmtId="0" fontId="16" fillId="7" borderId="31" xfId="0" applyFont="1" applyFill="1" applyBorder="1" applyAlignment="1">
      <alignment horizontal="center" vertical="center"/>
    </xf>
    <xf numFmtId="0" fontId="16" fillId="7" borderId="43" xfId="0" applyFont="1" applyFill="1" applyBorder="1" applyAlignment="1">
      <alignment horizontal="center" vertical="center"/>
    </xf>
    <xf numFmtId="0" fontId="4" fillId="7" borderId="22" xfId="1" applyFont="1" applyFill="1" applyBorder="1" applyAlignment="1">
      <alignment horizontal="right" vertical="center"/>
    </xf>
    <xf numFmtId="0" fontId="4" fillId="7" borderId="23" xfId="1" applyFont="1" applyFill="1" applyBorder="1" applyAlignment="1">
      <alignment horizontal="right" vertical="center"/>
    </xf>
    <xf numFmtId="0" fontId="4" fillId="7" borderId="24" xfId="1" applyFont="1" applyFill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5" fillId="4" borderId="6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6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44" fontId="11" fillId="0" borderId="0" xfId="0" applyNumberFormat="1" applyFont="1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horizontal="right"/>
    </xf>
    <xf numFmtId="0" fontId="7" fillId="7" borderId="2" xfId="0" applyFont="1" applyFill="1" applyBorder="1" applyAlignment="1">
      <alignment horizontal="right"/>
    </xf>
    <xf numFmtId="0" fontId="7" fillId="7" borderId="37" xfId="0" applyFont="1" applyFill="1" applyBorder="1" applyAlignment="1">
      <alignment horizontal="right"/>
    </xf>
    <xf numFmtId="0" fontId="13" fillId="0" borderId="0" xfId="6" applyFont="1" applyBorder="1" applyAlignment="1">
      <alignment horizontal="left" vertical="center"/>
    </xf>
    <xf numFmtId="0" fontId="11" fillId="0" borderId="0" xfId="0" applyFont="1" applyBorder="1" applyAlignment="1"/>
    <xf numFmtId="44" fontId="7" fillId="7" borderId="36" xfId="0" applyNumberFormat="1" applyFont="1" applyFill="1" applyBorder="1" applyAlignment="1">
      <alignment horizontal="center"/>
    </xf>
    <xf numFmtId="44" fontId="7" fillId="7" borderId="37" xfId="0" applyNumberFormat="1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0" fontId="5" fillId="4" borderId="43" xfId="0" applyFont="1" applyFill="1" applyBorder="1" applyAlignment="1">
      <alignment horizontal="center"/>
    </xf>
    <xf numFmtId="0" fontId="13" fillId="0" borderId="22" xfId="41" applyFont="1" applyBorder="1" applyAlignment="1">
      <alignment horizontal="center"/>
    </xf>
    <xf numFmtId="0" fontId="13" fillId="0" borderId="23" xfId="41" applyFont="1" applyBorder="1" applyAlignment="1">
      <alignment horizontal="center"/>
    </xf>
    <xf numFmtId="0" fontId="13" fillId="0" borderId="24" xfId="41" applyFont="1" applyBorder="1" applyAlignment="1">
      <alignment horizontal="center"/>
    </xf>
    <xf numFmtId="0" fontId="4" fillId="7" borderId="22" xfId="41" applyFont="1" applyFill="1" applyBorder="1" applyAlignment="1">
      <alignment horizontal="right"/>
    </xf>
    <xf numFmtId="0" fontId="4" fillId="7" borderId="23" xfId="41" applyFont="1" applyFill="1" applyBorder="1" applyAlignment="1">
      <alignment horizontal="right"/>
    </xf>
    <xf numFmtId="0" fontId="4" fillId="7" borderId="24" xfId="41" applyFont="1" applyFill="1" applyBorder="1" applyAlignment="1">
      <alignment horizontal="right"/>
    </xf>
    <xf numFmtId="0" fontId="5" fillId="0" borderId="0" xfId="49" applyFont="1" applyBorder="1" applyAlignment="1">
      <alignment horizontal="left" vertical="center" wrapText="1"/>
    </xf>
    <xf numFmtId="0" fontId="13" fillId="2" borderId="5" xfId="41" applyFont="1" applyFill="1" applyBorder="1" applyAlignment="1">
      <alignment horizontal="center" vertical="center" wrapText="1"/>
    </xf>
    <xf numFmtId="0" fontId="13" fillId="2" borderId="13" xfId="41" applyFont="1" applyFill="1" applyBorder="1" applyAlignment="1">
      <alignment horizontal="center" vertical="center" wrapText="1"/>
    </xf>
    <xf numFmtId="0" fontId="13" fillId="2" borderId="8" xfId="41" applyFont="1" applyFill="1" applyBorder="1" applyAlignment="1">
      <alignment horizontal="center" vertical="center" wrapText="1"/>
    </xf>
    <xf numFmtId="0" fontId="13" fillId="2" borderId="6" xfId="4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0" fontId="13" fillId="2" borderId="9" xfId="41" applyFont="1" applyFill="1" applyBorder="1" applyAlignment="1">
      <alignment horizontal="center" vertical="center" wrapText="1"/>
    </xf>
    <xf numFmtId="44" fontId="13" fillId="2" borderId="6" xfId="24" applyFont="1" applyFill="1" applyBorder="1" applyAlignment="1">
      <alignment horizontal="center" vertical="center" wrapText="1"/>
    </xf>
    <xf numFmtId="44" fontId="13" fillId="2" borderId="1" xfId="24" applyFont="1" applyFill="1" applyBorder="1" applyAlignment="1">
      <alignment horizontal="center" vertical="center" wrapText="1"/>
    </xf>
    <xf numFmtId="44" fontId="13" fillId="2" borderId="9" xfId="24" applyFont="1" applyFill="1" applyBorder="1" applyAlignment="1">
      <alignment horizontal="center" vertical="center" wrapText="1"/>
    </xf>
    <xf numFmtId="44" fontId="13" fillId="2" borderId="7" xfId="24" applyFont="1" applyFill="1" applyBorder="1" applyAlignment="1">
      <alignment horizontal="center" vertical="center" wrapText="1"/>
    </xf>
    <xf numFmtId="44" fontId="13" fillId="2" borderId="14" xfId="24" applyFont="1" applyFill="1" applyBorder="1" applyAlignment="1">
      <alignment horizontal="center" vertical="center" wrapText="1"/>
    </xf>
    <xf numFmtId="167" fontId="16" fillId="6" borderId="6" xfId="0" applyNumberFormat="1" applyFont="1" applyFill="1" applyBorder="1" applyAlignment="1">
      <alignment horizontal="center" vertical="center"/>
    </xf>
    <xf numFmtId="167" fontId="16" fillId="6" borderId="7" xfId="0" applyNumberFormat="1" applyFont="1" applyFill="1" applyBorder="1" applyAlignment="1">
      <alignment horizontal="center" vertical="center"/>
    </xf>
    <xf numFmtId="167" fontId="16" fillId="6" borderId="1" xfId="0" applyNumberFormat="1" applyFont="1" applyFill="1" applyBorder="1" applyAlignment="1">
      <alignment horizontal="center" vertical="center"/>
    </xf>
    <xf numFmtId="167" fontId="16" fillId="6" borderId="14" xfId="0" applyNumberFormat="1" applyFont="1" applyFill="1" applyBorder="1" applyAlignment="1">
      <alignment horizontal="center" vertical="center"/>
    </xf>
    <xf numFmtId="0" fontId="16" fillId="7" borderId="22" xfId="0" applyFont="1" applyFill="1" applyBorder="1" applyAlignment="1">
      <alignment horizontal="right" vertical="top"/>
    </xf>
    <xf numFmtId="0" fontId="16" fillId="7" borderId="23" xfId="0" applyFont="1" applyFill="1" applyBorder="1" applyAlignment="1">
      <alignment horizontal="right" vertical="top"/>
    </xf>
    <xf numFmtId="0" fontId="16" fillId="6" borderId="5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167" fontId="16" fillId="6" borderId="6" xfId="0" applyNumberFormat="1" applyFont="1" applyFill="1" applyBorder="1" applyAlignment="1">
      <alignment horizontal="center" vertical="center" wrapText="1"/>
    </xf>
    <xf numFmtId="167" fontId="16" fillId="6" borderId="1" xfId="0" applyNumberFormat="1" applyFont="1" applyFill="1" applyBorder="1" applyAlignment="1">
      <alignment horizontal="center" vertical="center" wrapText="1"/>
    </xf>
    <xf numFmtId="167" fontId="16" fillId="6" borderId="9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horizontal="center" vertical="center"/>
    </xf>
    <xf numFmtId="0" fontId="29" fillId="7" borderId="18" xfId="0" applyFont="1" applyFill="1" applyBorder="1" applyAlignment="1">
      <alignment horizontal="right"/>
    </xf>
    <xf numFmtId="0" fontId="29" fillId="7" borderId="19" xfId="0" applyFont="1" applyFill="1" applyBorder="1" applyAlignment="1">
      <alignment horizontal="right"/>
    </xf>
    <xf numFmtId="44" fontId="29" fillId="7" borderId="19" xfId="0" applyNumberFormat="1" applyFont="1" applyFill="1" applyBorder="1" applyAlignment="1">
      <alignment horizontal="center"/>
    </xf>
    <xf numFmtId="0" fontId="37" fillId="0" borderId="0" xfId="15" applyFont="1" applyBorder="1" applyAlignment="1">
      <alignment horizontal="left" vertical="center" wrapText="1"/>
    </xf>
    <xf numFmtId="0" fontId="7" fillId="7" borderId="16" xfId="7" applyFont="1" applyFill="1" applyBorder="1" applyAlignment="1">
      <alignment horizontal="center" wrapText="1"/>
    </xf>
    <xf numFmtId="0" fontId="7" fillId="7" borderId="4" xfId="7" applyFont="1" applyFill="1" applyBorder="1" applyAlignment="1">
      <alignment horizontal="center" wrapText="1"/>
    </xf>
    <xf numFmtId="0" fontId="7" fillId="7" borderId="1" xfId="7" applyFont="1" applyFill="1" applyBorder="1" applyAlignment="1">
      <alignment horizontal="center" wrapText="1"/>
    </xf>
    <xf numFmtId="0" fontId="7" fillId="7" borderId="16" xfId="7" applyFont="1" applyFill="1" applyBorder="1" applyAlignment="1">
      <alignment horizontal="center"/>
    </xf>
    <xf numFmtId="0" fontId="7" fillId="7" borderId="1" xfId="7" applyFont="1" applyFill="1" applyBorder="1" applyAlignment="1">
      <alignment horizontal="center"/>
    </xf>
    <xf numFmtId="0" fontId="7" fillId="7" borderId="32" xfId="7" applyFont="1" applyFill="1" applyBorder="1" applyAlignment="1">
      <alignment horizontal="center"/>
    </xf>
    <xf numFmtId="0" fontId="7" fillId="7" borderId="40" xfId="7" applyFont="1" applyFill="1" applyBorder="1" applyAlignment="1">
      <alignment horizontal="center"/>
    </xf>
    <xf numFmtId="0" fontId="7" fillId="7" borderId="27" xfId="7" applyFont="1" applyFill="1" applyBorder="1" applyAlignment="1">
      <alignment horizontal="center"/>
    </xf>
    <xf numFmtId="0" fontId="4" fillId="7" borderId="5" xfId="17" applyFont="1" applyFill="1" applyBorder="1" applyAlignment="1" applyProtection="1">
      <alignment horizontal="center" vertical="center" wrapText="1"/>
      <protection locked="0"/>
    </xf>
    <xf numFmtId="0" fontId="4" fillId="7" borderId="13" xfId="17" applyFont="1" applyFill="1" applyBorder="1" applyAlignment="1" applyProtection="1">
      <alignment horizontal="center" vertical="center"/>
      <protection locked="0"/>
    </xf>
    <xf numFmtId="0" fontId="4" fillId="7" borderId="6" xfId="17" applyFont="1" applyFill="1" applyBorder="1" applyAlignment="1" applyProtection="1">
      <alignment horizontal="center" vertical="center"/>
      <protection locked="0"/>
    </xf>
    <xf numFmtId="0" fontId="4" fillId="7" borderId="1" xfId="17" applyFont="1" applyFill="1" applyBorder="1" applyAlignment="1" applyProtection="1">
      <alignment horizontal="center" vertical="center"/>
      <protection locked="0"/>
    </xf>
    <xf numFmtId="0" fontId="4" fillId="7" borderId="6" xfId="17" applyFont="1" applyFill="1" applyBorder="1" applyAlignment="1" applyProtection="1">
      <alignment horizontal="center" vertical="center" wrapText="1"/>
      <protection locked="0"/>
    </xf>
    <xf numFmtId="0" fontId="7" fillId="7" borderId="6" xfId="7" applyFont="1" applyFill="1" applyBorder="1" applyAlignment="1">
      <alignment horizontal="center"/>
    </xf>
    <xf numFmtId="0" fontId="7" fillId="7" borderId="7" xfId="7" applyFont="1" applyFill="1" applyBorder="1" applyAlignment="1">
      <alignment horizontal="center"/>
    </xf>
  </cellXfs>
  <cellStyles count="106">
    <cellStyle name="Millares" xfId="4" builtinId="3"/>
    <cellStyle name="Millares 2" xfId="2"/>
    <cellStyle name="Millares 2 2" xfId="20"/>
    <cellStyle name="Millares 2 3" xfId="22"/>
    <cellStyle name="Millares 3" xfId="58"/>
    <cellStyle name="Moneda" xfId="5" builtinId="4"/>
    <cellStyle name="Moneda 2" xfId="3"/>
    <cellStyle name="Moneda 2 2" xfId="16"/>
    <cellStyle name="Moneda 2 2 2" xfId="21"/>
    <cellStyle name="Moneda 2 2 3" xfId="61"/>
    <cellStyle name="Moneda 2 3" xfId="23"/>
    <cellStyle name="Moneda 2 4" xfId="60"/>
    <cellStyle name="Moneda 3" xfId="24"/>
    <cellStyle name="Moneda 4" xfId="59"/>
    <cellStyle name="Normal" xfId="0" builtinId="0"/>
    <cellStyle name="Normal 10" xfId="9"/>
    <cellStyle name="Normal 10 2" xfId="26"/>
    <cellStyle name="Normal 10 3" xfId="25"/>
    <cellStyle name="Normal 11" xfId="10"/>
    <cellStyle name="Normal 11 2" xfId="28"/>
    <cellStyle name="Normal 11 3" xfId="27"/>
    <cellStyle name="Normal 12" xfId="11"/>
    <cellStyle name="Normal 12 2" xfId="30"/>
    <cellStyle name="Normal 12 3" xfId="29"/>
    <cellStyle name="Normal 13" xfId="12"/>
    <cellStyle name="Normal 13 2" xfId="32"/>
    <cellStyle name="Normal 13 3" xfId="31"/>
    <cellStyle name="Normal 14" xfId="13"/>
    <cellStyle name="Normal 14 2" xfId="34"/>
    <cellStyle name="Normal 14 3" xfId="33"/>
    <cellStyle name="Normal 15" xfId="35"/>
    <cellStyle name="Normal 15 2" xfId="36"/>
    <cellStyle name="Normal 16" xfId="14"/>
    <cellStyle name="Normal 16 2" xfId="37"/>
    <cellStyle name="Normal 17" xfId="6"/>
    <cellStyle name="Normal 18" xfId="65"/>
    <cellStyle name="Normal 19" xfId="68"/>
    <cellStyle name="Normal 2" xfId="1"/>
    <cellStyle name="Normal 2 2" xfId="17"/>
    <cellStyle name="Normal 2 2 2" xfId="40"/>
    <cellStyle name="Normal 2 2 2 2" xfId="41"/>
    <cellStyle name="Normal 2 2 2 2 2" xfId="42"/>
    <cellStyle name="Normal 2 2 3" xfId="39"/>
    <cellStyle name="Normal 2 2 4" xfId="63"/>
    <cellStyle name="Normal 2 3" xfId="43"/>
    <cellStyle name="Normal 2 3 2" xfId="44"/>
    <cellStyle name="Normal 2 4" xfId="45"/>
    <cellStyle name="Normal 2 4 2" xfId="46"/>
    <cellStyle name="Normal 2 5" xfId="38"/>
    <cellStyle name="Normal 2 6" xfId="62"/>
    <cellStyle name="Normal 20" xfId="71"/>
    <cellStyle name="Normal 21" xfId="74"/>
    <cellStyle name="Normal 22" xfId="77"/>
    <cellStyle name="Normal 23" xfId="80"/>
    <cellStyle name="Normal 24" xfId="83"/>
    <cellStyle name="Normal 25" xfId="86"/>
    <cellStyle name="Normal 26" xfId="88"/>
    <cellStyle name="Normal 27" xfId="90"/>
    <cellStyle name="Normal 28" xfId="92"/>
    <cellStyle name="Normal 29" xfId="94"/>
    <cellStyle name="Normal 3" xfId="18"/>
    <cellStyle name="Normal 3 2" xfId="48"/>
    <cellStyle name="Normal 3 3" xfId="47"/>
    <cellStyle name="Normal 3 4" xfId="19"/>
    <cellStyle name="Normal 30" xfId="96"/>
    <cellStyle name="Normal 31" xfId="98"/>
    <cellStyle name="Normal 32" xfId="100"/>
    <cellStyle name="Normal 33" xfId="69"/>
    <cellStyle name="Normal 34" xfId="72"/>
    <cellStyle name="Normal 35" xfId="75"/>
    <cellStyle name="Normal 36" xfId="78"/>
    <cellStyle name="Normal 37" xfId="81"/>
    <cellStyle name="Normal 38" xfId="84"/>
    <cellStyle name="Normal 39" xfId="66"/>
    <cellStyle name="Normal 4" xfId="7"/>
    <cellStyle name="Normal 4 2" xfId="64"/>
    <cellStyle name="Normal 40" xfId="70"/>
    <cellStyle name="Normal 41" xfId="73"/>
    <cellStyle name="Normal 42" xfId="76"/>
    <cellStyle name="Normal 43" xfId="79"/>
    <cellStyle name="Normal 44" xfId="82"/>
    <cellStyle name="Normal 45" xfId="85"/>
    <cellStyle name="Normal 46" xfId="87"/>
    <cellStyle name="Normal 47" xfId="89"/>
    <cellStyle name="Normal 48" xfId="91"/>
    <cellStyle name="Normal 49" xfId="93"/>
    <cellStyle name="Normal 5" xfId="15"/>
    <cellStyle name="Normal 5 2" xfId="49"/>
    <cellStyle name="Normal 50" xfId="95"/>
    <cellStyle name="Normal 51" xfId="97"/>
    <cellStyle name="Normal 52" xfId="99"/>
    <cellStyle name="Normal 53" xfId="101"/>
    <cellStyle name="Normal 54" xfId="67"/>
    <cellStyle name="Normal 6" xfId="50"/>
    <cellStyle name="Normal 6 2" xfId="51"/>
    <cellStyle name="Normal 69" xfId="102"/>
    <cellStyle name="Normal 7" xfId="52"/>
    <cellStyle name="Normal 7 2" xfId="53"/>
    <cellStyle name="Normal 70" xfId="105"/>
    <cellStyle name="Normal 71" xfId="103"/>
    <cellStyle name="Normal 73" xfId="104"/>
    <cellStyle name="Normal 8" xfId="8"/>
    <cellStyle name="Normal 8 2" xfId="55"/>
    <cellStyle name="Normal 8 3" xfId="54"/>
    <cellStyle name="Normal 9" xfId="56"/>
    <cellStyle name="Normal 9 2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7"/>
  <sheetViews>
    <sheetView view="pageBreakPreview" topLeftCell="A40" zoomScale="93" zoomScaleNormal="100" zoomScaleSheetLayoutView="93" workbookViewId="0">
      <selection activeCell="A8" sqref="A8"/>
    </sheetView>
  </sheetViews>
  <sheetFormatPr baseColWidth="10" defaultRowHeight="12.75"/>
  <cols>
    <col min="1" max="1" width="41.28515625" style="619" customWidth="1"/>
    <col min="2" max="2" width="15.42578125" style="150" customWidth="1"/>
    <col min="3" max="3" width="15" style="150" customWidth="1"/>
    <col min="4" max="4" width="27.7109375" style="150" customWidth="1"/>
    <col min="5" max="5" width="18.28515625" style="150" customWidth="1"/>
    <col min="6" max="13" width="16.28515625" style="150" customWidth="1"/>
    <col min="14" max="14" width="19.140625" style="150" customWidth="1"/>
    <col min="15" max="15" width="18.42578125" style="150" customWidth="1"/>
    <col min="16" max="16" width="20.5703125" style="150" customWidth="1"/>
    <col min="17" max="17" width="14.85546875" style="150" bestFit="1" customWidth="1"/>
    <col min="18" max="18" width="15.5703125" style="150" bestFit="1" customWidth="1"/>
    <col min="19" max="19" width="15.85546875" style="150" customWidth="1"/>
    <col min="20" max="20" width="14.85546875" style="150" customWidth="1"/>
    <col min="21" max="21" width="19.85546875" style="150" customWidth="1"/>
    <col min="22" max="23" width="14.5703125" style="150" customWidth="1"/>
    <col min="24" max="24" width="17" style="150" customWidth="1"/>
    <col min="25" max="25" width="17.42578125" style="150" customWidth="1"/>
    <col min="26" max="26" width="17" style="150" customWidth="1"/>
    <col min="27" max="27" width="19.42578125" style="150" customWidth="1"/>
    <col min="28" max="16384" width="11.42578125" style="150"/>
  </cols>
  <sheetData>
    <row r="1" spans="1:27" ht="17.25" customHeight="1">
      <c r="A1" s="828" t="s">
        <v>25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828"/>
      <c r="Q1" s="828"/>
      <c r="R1" s="828"/>
      <c r="S1" s="828"/>
      <c r="T1" s="828"/>
      <c r="U1" s="828"/>
      <c r="V1" s="828"/>
      <c r="W1" s="828"/>
      <c r="X1" s="828"/>
      <c r="Y1" s="828"/>
      <c r="Z1" s="828"/>
    </row>
    <row r="2" spans="1:27" ht="12" customHeight="1">
      <c r="A2" s="829" t="s">
        <v>810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829"/>
      <c r="Q2" s="829"/>
      <c r="R2" s="829"/>
      <c r="S2" s="829"/>
      <c r="T2" s="829"/>
      <c r="U2" s="743"/>
      <c r="V2" s="270"/>
      <c r="W2" s="270"/>
      <c r="X2" s="270"/>
      <c r="Y2" s="270"/>
      <c r="Z2" s="270"/>
    </row>
    <row r="3" spans="1:27">
      <c r="A3" s="829" t="s">
        <v>1336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29"/>
      <c r="Q3" s="829"/>
      <c r="R3" s="829"/>
      <c r="S3" s="829"/>
      <c r="T3" s="829"/>
      <c r="U3" s="175"/>
    </row>
    <row r="4" spans="1:27" ht="13.5" thickBot="1">
      <c r="A4" s="829" t="s">
        <v>28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29"/>
      <c r="Q4" s="829"/>
      <c r="R4" s="829"/>
      <c r="S4" s="829"/>
      <c r="T4" s="829"/>
      <c r="U4" s="175"/>
    </row>
    <row r="5" spans="1:27" ht="15" customHeight="1">
      <c r="A5" s="830" t="s">
        <v>462</v>
      </c>
      <c r="B5" s="832" t="s">
        <v>36</v>
      </c>
      <c r="C5" s="834" t="s">
        <v>37</v>
      </c>
      <c r="D5" s="835" t="s">
        <v>38</v>
      </c>
      <c r="E5" s="837" t="s">
        <v>165</v>
      </c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838"/>
      <c r="T5" s="838"/>
      <c r="U5" s="838"/>
      <c r="V5" s="838"/>
      <c r="W5" s="838"/>
      <c r="X5" s="838"/>
      <c r="Y5" s="838"/>
      <c r="Z5" s="838"/>
      <c r="AA5" s="839"/>
    </row>
    <row r="6" spans="1:27" ht="21" customHeight="1" thickBot="1">
      <c r="A6" s="831" t="s">
        <v>29</v>
      </c>
      <c r="B6" s="833"/>
      <c r="C6" s="833"/>
      <c r="D6" s="836" t="s">
        <v>31</v>
      </c>
      <c r="E6" s="567" t="s">
        <v>791</v>
      </c>
      <c r="F6" s="567" t="s">
        <v>792</v>
      </c>
      <c r="G6" s="567" t="s">
        <v>793</v>
      </c>
      <c r="H6" s="567" t="s">
        <v>794</v>
      </c>
      <c r="I6" s="567" t="s">
        <v>795</v>
      </c>
      <c r="J6" s="567" t="s">
        <v>796</v>
      </c>
      <c r="K6" s="567" t="s">
        <v>797</v>
      </c>
      <c r="L6" s="567" t="s">
        <v>798</v>
      </c>
      <c r="M6" s="567" t="s">
        <v>799</v>
      </c>
      <c r="N6" s="567">
        <v>31</v>
      </c>
      <c r="O6" s="567">
        <v>33</v>
      </c>
      <c r="P6" s="567" t="s">
        <v>800</v>
      </c>
      <c r="Q6" s="567" t="s">
        <v>801</v>
      </c>
      <c r="R6" s="567" t="s">
        <v>802</v>
      </c>
      <c r="S6" s="568" t="s">
        <v>803</v>
      </c>
      <c r="T6" s="567" t="s">
        <v>804</v>
      </c>
      <c r="U6" s="567">
        <v>131</v>
      </c>
      <c r="V6" s="567">
        <v>132</v>
      </c>
      <c r="W6" s="567">
        <v>133</v>
      </c>
      <c r="X6" s="567">
        <v>412</v>
      </c>
      <c r="Y6" s="567">
        <v>413</v>
      </c>
      <c r="Z6" s="569">
        <v>415</v>
      </c>
      <c r="AA6" s="569">
        <v>183</v>
      </c>
    </row>
    <row r="7" spans="1:27" ht="20.25" customHeight="1">
      <c r="A7" s="798" t="s">
        <v>813</v>
      </c>
      <c r="B7" s="799">
        <v>1</v>
      </c>
      <c r="C7" s="800">
        <v>4449</v>
      </c>
      <c r="D7" s="801" t="s">
        <v>805</v>
      </c>
      <c r="E7" s="802">
        <v>4449</v>
      </c>
      <c r="F7" s="802">
        <v>600</v>
      </c>
      <c r="G7" s="802"/>
      <c r="H7" s="802"/>
      <c r="I7" s="802">
        <v>2300</v>
      </c>
      <c r="J7" s="803"/>
      <c r="K7" s="803"/>
      <c r="L7" s="803"/>
      <c r="M7" s="803"/>
      <c r="N7" s="803"/>
      <c r="O7" s="803"/>
      <c r="P7" s="803"/>
      <c r="Q7" s="803"/>
      <c r="R7" s="802">
        <v>3549.5</v>
      </c>
      <c r="S7" s="802">
        <v>7099</v>
      </c>
      <c r="T7" s="802">
        <v>200</v>
      </c>
      <c r="U7" s="802"/>
      <c r="V7" s="802"/>
      <c r="W7" s="802"/>
      <c r="X7" s="802"/>
      <c r="Y7" s="802"/>
      <c r="Z7" s="802"/>
      <c r="AA7" s="810"/>
    </row>
    <row r="8" spans="1:27" ht="20.25" customHeight="1">
      <c r="A8" s="596" t="s">
        <v>813</v>
      </c>
      <c r="B8" s="609">
        <v>1</v>
      </c>
      <c r="C8" s="597">
        <v>4449</v>
      </c>
      <c r="D8" s="598" t="s">
        <v>805</v>
      </c>
      <c r="E8" s="599">
        <v>4449</v>
      </c>
      <c r="F8" s="599">
        <v>500</v>
      </c>
      <c r="G8" s="599"/>
      <c r="H8" s="599"/>
      <c r="I8" s="599">
        <v>2300</v>
      </c>
      <c r="J8" s="600"/>
      <c r="K8" s="600"/>
      <c r="L8" s="600"/>
      <c r="M8" s="600"/>
      <c r="N8" s="600"/>
      <c r="O8" s="600"/>
      <c r="P8" s="600"/>
      <c r="Q8" s="600"/>
      <c r="R8" s="599">
        <v>3499.5</v>
      </c>
      <c r="S8" s="599">
        <v>6999</v>
      </c>
      <c r="T8" s="599">
        <v>200</v>
      </c>
      <c r="U8" s="599"/>
      <c r="V8" s="599"/>
      <c r="W8" s="599"/>
      <c r="X8" s="599"/>
      <c r="Y8" s="599"/>
      <c r="Z8" s="599"/>
      <c r="AA8" s="811"/>
    </row>
    <row r="9" spans="1:27" ht="20.25" customHeight="1">
      <c r="A9" s="596" t="s">
        <v>814</v>
      </c>
      <c r="B9" s="609">
        <v>1</v>
      </c>
      <c r="C9" s="597">
        <v>3757</v>
      </c>
      <c r="D9" s="598" t="s">
        <v>805</v>
      </c>
      <c r="E9" s="599">
        <v>3757</v>
      </c>
      <c r="F9" s="599">
        <v>600</v>
      </c>
      <c r="G9" s="599"/>
      <c r="H9" s="599"/>
      <c r="I9" s="599">
        <v>2300</v>
      </c>
      <c r="J9" s="600"/>
      <c r="K9" s="600"/>
      <c r="L9" s="600"/>
      <c r="M9" s="600"/>
      <c r="N9" s="600"/>
      <c r="O9" s="600"/>
      <c r="P9" s="600"/>
      <c r="Q9" s="600"/>
      <c r="R9" s="599">
        <v>3203.5</v>
      </c>
      <c r="S9" s="599">
        <v>6407</v>
      </c>
      <c r="T9" s="599">
        <v>200</v>
      </c>
      <c r="U9" s="599"/>
      <c r="V9" s="599"/>
      <c r="W9" s="599"/>
      <c r="X9" s="599"/>
      <c r="Y9" s="599"/>
      <c r="Z9" s="599"/>
      <c r="AA9" s="811"/>
    </row>
    <row r="10" spans="1:27" ht="20.25" customHeight="1">
      <c r="A10" s="596" t="s">
        <v>815</v>
      </c>
      <c r="B10" s="609">
        <v>1</v>
      </c>
      <c r="C10" s="597">
        <v>1253</v>
      </c>
      <c r="D10" s="598" t="s">
        <v>805</v>
      </c>
      <c r="E10" s="599">
        <v>1253</v>
      </c>
      <c r="F10" s="599">
        <v>375</v>
      </c>
      <c r="G10" s="599">
        <v>50</v>
      </c>
      <c r="H10" s="599"/>
      <c r="I10" s="599">
        <v>1750</v>
      </c>
      <c r="J10" s="600"/>
      <c r="K10" s="600"/>
      <c r="L10" s="600"/>
      <c r="M10" s="600"/>
      <c r="N10" s="600"/>
      <c r="O10" s="600"/>
      <c r="P10" s="600"/>
      <c r="Q10" s="600"/>
      <c r="R10" s="599">
        <v>1589</v>
      </c>
      <c r="S10" s="599">
        <v>3178</v>
      </c>
      <c r="T10" s="599">
        <v>200</v>
      </c>
      <c r="U10" s="599"/>
      <c r="V10" s="599"/>
      <c r="W10" s="599"/>
      <c r="X10" s="599"/>
      <c r="Y10" s="599"/>
      <c r="Z10" s="599"/>
      <c r="AA10" s="811"/>
    </row>
    <row r="11" spans="1:27" ht="20.25" customHeight="1">
      <c r="A11" s="596" t="s">
        <v>47</v>
      </c>
      <c r="B11" s="609">
        <v>1</v>
      </c>
      <c r="C11" s="597">
        <v>1381</v>
      </c>
      <c r="D11" s="598" t="s">
        <v>805</v>
      </c>
      <c r="E11" s="599">
        <v>1381</v>
      </c>
      <c r="F11" s="599">
        <v>375</v>
      </c>
      <c r="G11" s="599">
        <v>75</v>
      </c>
      <c r="H11" s="599"/>
      <c r="I11" s="599">
        <v>1850</v>
      </c>
      <c r="J11" s="600"/>
      <c r="K11" s="600"/>
      <c r="L11" s="600"/>
      <c r="M11" s="600"/>
      <c r="N11" s="600"/>
      <c r="O11" s="600"/>
      <c r="P11" s="600"/>
      <c r="Q11" s="600"/>
      <c r="R11" s="599">
        <v>1715.5</v>
      </c>
      <c r="S11" s="599">
        <v>3431</v>
      </c>
      <c r="T11" s="599">
        <v>200</v>
      </c>
      <c r="U11" s="599"/>
      <c r="V11" s="599"/>
      <c r="W11" s="599"/>
      <c r="X11" s="599"/>
      <c r="Y11" s="599"/>
      <c r="Z11" s="599"/>
      <c r="AA11" s="811"/>
    </row>
    <row r="12" spans="1:27" ht="20.25" customHeight="1">
      <c r="A12" s="596" t="s">
        <v>816</v>
      </c>
      <c r="B12" s="609">
        <v>1</v>
      </c>
      <c r="C12" s="597">
        <v>3987</v>
      </c>
      <c r="D12" s="598" t="s">
        <v>805</v>
      </c>
      <c r="E12" s="599">
        <v>3987</v>
      </c>
      <c r="F12" s="599">
        <v>500</v>
      </c>
      <c r="G12" s="599"/>
      <c r="H12" s="599"/>
      <c r="I12" s="599">
        <v>2300</v>
      </c>
      <c r="J12" s="600"/>
      <c r="K12" s="600"/>
      <c r="L12" s="600"/>
      <c r="M12" s="600"/>
      <c r="N12" s="600"/>
      <c r="O12" s="600"/>
      <c r="P12" s="600"/>
      <c r="Q12" s="600"/>
      <c r="R12" s="599">
        <v>3268.5</v>
      </c>
      <c r="S12" s="599">
        <v>6537</v>
      </c>
      <c r="T12" s="599">
        <v>200</v>
      </c>
      <c r="U12" s="599"/>
      <c r="V12" s="599"/>
      <c r="W12" s="599"/>
      <c r="X12" s="599"/>
      <c r="Y12" s="599"/>
      <c r="Z12" s="599"/>
      <c r="AA12" s="811"/>
    </row>
    <row r="13" spans="1:27" ht="20.25" customHeight="1">
      <c r="A13" s="596" t="s">
        <v>817</v>
      </c>
      <c r="B13" s="609">
        <v>2</v>
      </c>
      <c r="C13" s="597">
        <v>1966</v>
      </c>
      <c r="D13" s="598" t="s">
        <v>805</v>
      </c>
      <c r="E13" s="599">
        <v>3932</v>
      </c>
      <c r="F13" s="599">
        <v>900</v>
      </c>
      <c r="G13" s="599">
        <v>70</v>
      </c>
      <c r="H13" s="599"/>
      <c r="I13" s="599">
        <v>3500</v>
      </c>
      <c r="J13" s="600"/>
      <c r="K13" s="600"/>
      <c r="L13" s="600"/>
      <c r="M13" s="600"/>
      <c r="N13" s="600"/>
      <c r="O13" s="600"/>
      <c r="P13" s="600"/>
      <c r="Q13" s="600"/>
      <c r="R13" s="599">
        <v>3951</v>
      </c>
      <c r="S13" s="599">
        <v>7902</v>
      </c>
      <c r="T13" s="599">
        <v>400</v>
      </c>
      <c r="U13" s="599"/>
      <c r="V13" s="599"/>
      <c r="W13" s="599"/>
      <c r="X13" s="599"/>
      <c r="Y13" s="599"/>
      <c r="Z13" s="599"/>
      <c r="AA13" s="811"/>
    </row>
    <row r="14" spans="1:27" ht="20.25" customHeight="1">
      <c r="A14" s="596" t="s">
        <v>192</v>
      </c>
      <c r="B14" s="609">
        <v>1</v>
      </c>
      <c r="C14" s="597">
        <v>1105</v>
      </c>
      <c r="D14" s="598" t="s">
        <v>805</v>
      </c>
      <c r="E14" s="599">
        <v>1105</v>
      </c>
      <c r="F14" s="599">
        <v>375</v>
      </c>
      <c r="G14" s="599">
        <v>35</v>
      </c>
      <c r="H14" s="599"/>
      <c r="I14" s="599">
        <v>1700</v>
      </c>
      <c r="J14" s="600"/>
      <c r="K14" s="600"/>
      <c r="L14" s="600"/>
      <c r="M14" s="600"/>
      <c r="N14" s="600"/>
      <c r="O14" s="600"/>
      <c r="P14" s="600"/>
      <c r="Q14" s="600"/>
      <c r="R14" s="599">
        <v>1482.5</v>
      </c>
      <c r="S14" s="599">
        <v>2965</v>
      </c>
      <c r="T14" s="599">
        <v>200</v>
      </c>
      <c r="U14" s="599"/>
      <c r="V14" s="599"/>
      <c r="W14" s="599"/>
      <c r="X14" s="599"/>
      <c r="Y14" s="599"/>
      <c r="Z14" s="599"/>
      <c r="AA14" s="811"/>
    </row>
    <row r="15" spans="1:27" ht="20.25" customHeight="1">
      <c r="A15" s="596" t="s">
        <v>818</v>
      </c>
      <c r="B15" s="609">
        <v>5</v>
      </c>
      <c r="C15" s="597">
        <v>12773</v>
      </c>
      <c r="D15" s="598" t="s">
        <v>805</v>
      </c>
      <c r="E15" s="599">
        <v>63865</v>
      </c>
      <c r="F15" s="599"/>
      <c r="G15" s="599"/>
      <c r="H15" s="599">
        <v>1875</v>
      </c>
      <c r="I15" s="599">
        <v>1250</v>
      </c>
      <c r="J15" s="600"/>
      <c r="K15" s="600"/>
      <c r="L15" s="600"/>
      <c r="M15" s="600"/>
      <c r="N15" s="600"/>
      <c r="O15" s="600"/>
      <c r="P15" s="600"/>
      <c r="Q15" s="599">
        <v>60000</v>
      </c>
      <c r="R15" s="599">
        <v>32870</v>
      </c>
      <c r="S15" s="599">
        <v>65740</v>
      </c>
      <c r="T15" s="599">
        <v>1000</v>
      </c>
      <c r="U15" s="599"/>
      <c r="V15" s="599"/>
      <c r="W15" s="599"/>
      <c r="X15" s="599"/>
      <c r="Y15" s="599"/>
      <c r="Z15" s="599"/>
      <c r="AA15" s="811"/>
    </row>
    <row r="16" spans="1:27" ht="20.25" customHeight="1">
      <c r="A16" s="596" t="s">
        <v>819</v>
      </c>
      <c r="B16" s="609">
        <v>1</v>
      </c>
      <c r="C16" s="597">
        <v>17500</v>
      </c>
      <c r="D16" s="598" t="s">
        <v>805</v>
      </c>
      <c r="E16" s="599">
        <v>17500</v>
      </c>
      <c r="F16" s="599"/>
      <c r="G16" s="599"/>
      <c r="H16" s="599">
        <v>375</v>
      </c>
      <c r="I16" s="599">
        <v>250</v>
      </c>
      <c r="J16" s="600"/>
      <c r="K16" s="600"/>
      <c r="L16" s="600"/>
      <c r="M16" s="600"/>
      <c r="N16" s="600"/>
      <c r="O16" s="600"/>
      <c r="P16" s="600"/>
      <c r="Q16" s="599">
        <v>12000</v>
      </c>
      <c r="R16" s="599">
        <v>8937.5</v>
      </c>
      <c r="S16" s="599">
        <v>17875</v>
      </c>
      <c r="T16" s="599">
        <v>200</v>
      </c>
      <c r="U16" s="599"/>
      <c r="V16" s="599"/>
      <c r="W16" s="599"/>
      <c r="X16" s="599"/>
      <c r="Y16" s="599"/>
      <c r="Z16" s="599"/>
      <c r="AA16" s="811"/>
    </row>
    <row r="17" spans="1:27" ht="20.25" customHeight="1">
      <c r="A17" s="596" t="s">
        <v>40</v>
      </c>
      <c r="B17" s="609">
        <v>1</v>
      </c>
      <c r="C17" s="597">
        <v>1831</v>
      </c>
      <c r="D17" s="598" t="s">
        <v>805</v>
      </c>
      <c r="E17" s="599">
        <v>1831</v>
      </c>
      <c r="F17" s="599">
        <v>450</v>
      </c>
      <c r="G17" s="599">
        <v>75</v>
      </c>
      <c r="H17" s="599"/>
      <c r="I17" s="599">
        <v>1950</v>
      </c>
      <c r="J17" s="600"/>
      <c r="K17" s="600"/>
      <c r="L17" s="600"/>
      <c r="M17" s="600"/>
      <c r="N17" s="600"/>
      <c r="O17" s="600"/>
      <c r="P17" s="600"/>
      <c r="Q17" s="600"/>
      <c r="R17" s="599">
        <v>2028</v>
      </c>
      <c r="S17" s="599">
        <v>4056</v>
      </c>
      <c r="T17" s="599">
        <v>200</v>
      </c>
      <c r="U17" s="599"/>
      <c r="V17" s="599"/>
      <c r="W17" s="599"/>
      <c r="X17" s="599"/>
      <c r="Y17" s="599"/>
      <c r="Z17" s="599"/>
      <c r="AA17" s="811"/>
    </row>
    <row r="18" spans="1:27" ht="20.25" customHeight="1">
      <c r="A18" s="596" t="s">
        <v>820</v>
      </c>
      <c r="B18" s="609">
        <v>1</v>
      </c>
      <c r="C18" s="597">
        <v>2489</v>
      </c>
      <c r="D18" s="598" t="s">
        <v>806</v>
      </c>
      <c r="E18" s="599">
        <v>2489</v>
      </c>
      <c r="F18" s="601">
        <v>600</v>
      </c>
      <c r="G18" s="599"/>
      <c r="H18" s="600"/>
      <c r="I18" s="599">
        <v>2100</v>
      </c>
      <c r="J18" s="600"/>
      <c r="K18" s="600"/>
      <c r="L18" s="600"/>
      <c r="M18" s="600"/>
      <c r="N18" s="600"/>
      <c r="O18" s="600"/>
      <c r="P18" s="600"/>
      <c r="Q18" s="600"/>
      <c r="R18" s="599">
        <v>2469.5</v>
      </c>
      <c r="S18" s="599">
        <v>4939</v>
      </c>
      <c r="T18" s="599">
        <v>200</v>
      </c>
      <c r="U18" s="599"/>
      <c r="V18" s="599"/>
      <c r="W18" s="599"/>
      <c r="X18" s="599"/>
      <c r="Y18" s="599"/>
      <c r="Z18" s="599"/>
      <c r="AA18" s="811"/>
    </row>
    <row r="19" spans="1:27" ht="20.25" customHeight="1">
      <c r="A19" s="596" t="s">
        <v>723</v>
      </c>
      <c r="B19" s="609">
        <v>1</v>
      </c>
      <c r="C19" s="597">
        <v>2152</v>
      </c>
      <c r="D19" s="598" t="s">
        <v>806</v>
      </c>
      <c r="E19" s="599">
        <v>2152</v>
      </c>
      <c r="F19" s="601">
        <v>500</v>
      </c>
      <c r="G19" s="599">
        <v>50</v>
      </c>
      <c r="H19" s="600"/>
      <c r="I19" s="599">
        <v>1950</v>
      </c>
      <c r="J19" s="600"/>
      <c r="K19" s="600"/>
      <c r="L19" s="600"/>
      <c r="M19" s="600"/>
      <c r="N19" s="600"/>
      <c r="O19" s="600"/>
      <c r="P19" s="600"/>
      <c r="Q19" s="600"/>
      <c r="R19" s="599">
        <v>2201</v>
      </c>
      <c r="S19" s="599">
        <v>4402</v>
      </c>
      <c r="T19" s="599">
        <v>200</v>
      </c>
      <c r="U19" s="599"/>
      <c r="V19" s="599"/>
      <c r="W19" s="599"/>
      <c r="X19" s="599"/>
      <c r="Y19" s="599"/>
      <c r="Z19" s="599"/>
      <c r="AA19" s="811"/>
    </row>
    <row r="20" spans="1:27" ht="20.25" customHeight="1">
      <c r="A20" s="596" t="s">
        <v>185</v>
      </c>
      <c r="B20" s="609">
        <v>1</v>
      </c>
      <c r="C20" s="597">
        <v>1381</v>
      </c>
      <c r="D20" s="598" t="s">
        <v>806</v>
      </c>
      <c r="E20" s="599">
        <v>1381</v>
      </c>
      <c r="F20" s="601">
        <v>450</v>
      </c>
      <c r="G20" s="599">
        <v>50</v>
      </c>
      <c r="H20" s="600"/>
      <c r="I20" s="599">
        <v>1750</v>
      </c>
      <c r="J20" s="600"/>
      <c r="K20" s="600"/>
      <c r="L20" s="600"/>
      <c r="M20" s="600"/>
      <c r="N20" s="600"/>
      <c r="O20" s="600"/>
      <c r="P20" s="600"/>
      <c r="Q20" s="600"/>
      <c r="R20" s="599">
        <v>1690.5</v>
      </c>
      <c r="S20" s="599">
        <v>3381</v>
      </c>
      <c r="T20" s="599">
        <v>200</v>
      </c>
      <c r="U20" s="599"/>
      <c r="V20" s="599"/>
      <c r="W20" s="599"/>
      <c r="X20" s="599"/>
      <c r="Y20" s="599"/>
      <c r="Z20" s="599"/>
      <c r="AA20" s="811"/>
    </row>
    <row r="21" spans="1:27" ht="20.25" customHeight="1">
      <c r="A21" s="596" t="s">
        <v>46</v>
      </c>
      <c r="B21" s="609">
        <v>1</v>
      </c>
      <c r="C21" s="597">
        <v>1302</v>
      </c>
      <c r="D21" s="598" t="s">
        <v>806</v>
      </c>
      <c r="E21" s="599">
        <v>1302</v>
      </c>
      <c r="F21" s="601">
        <v>375</v>
      </c>
      <c r="G21" s="599">
        <v>50</v>
      </c>
      <c r="H21" s="600"/>
      <c r="I21" s="599">
        <v>1850</v>
      </c>
      <c r="J21" s="600"/>
      <c r="K21" s="600"/>
      <c r="L21" s="600"/>
      <c r="M21" s="600"/>
      <c r="N21" s="600"/>
      <c r="O21" s="600"/>
      <c r="P21" s="600"/>
      <c r="Q21" s="600"/>
      <c r="R21" s="599">
        <v>1663.5</v>
      </c>
      <c r="S21" s="599">
        <v>3327</v>
      </c>
      <c r="T21" s="599">
        <v>200</v>
      </c>
      <c r="U21" s="599"/>
      <c r="V21" s="599"/>
      <c r="W21" s="599"/>
      <c r="X21" s="599"/>
      <c r="Y21" s="599"/>
      <c r="Z21" s="599"/>
      <c r="AA21" s="811"/>
    </row>
    <row r="22" spans="1:27" ht="20.25" customHeight="1">
      <c r="A22" s="596" t="s">
        <v>821</v>
      </c>
      <c r="B22" s="609">
        <v>1</v>
      </c>
      <c r="C22" s="597">
        <v>1575</v>
      </c>
      <c r="D22" s="598" t="s">
        <v>806</v>
      </c>
      <c r="E22" s="599">
        <v>1575</v>
      </c>
      <c r="F22" s="601">
        <v>475</v>
      </c>
      <c r="G22" s="599">
        <v>35</v>
      </c>
      <c r="H22" s="600"/>
      <c r="I22" s="599">
        <v>1950</v>
      </c>
      <c r="J22" s="600"/>
      <c r="K22" s="600"/>
      <c r="L22" s="600"/>
      <c r="M22" s="600"/>
      <c r="N22" s="600"/>
      <c r="O22" s="600"/>
      <c r="P22" s="600"/>
      <c r="Q22" s="600"/>
      <c r="R22" s="599">
        <v>1892.5</v>
      </c>
      <c r="S22" s="599">
        <v>3785</v>
      </c>
      <c r="T22" s="599">
        <v>200</v>
      </c>
      <c r="U22" s="599"/>
      <c r="V22" s="599"/>
      <c r="W22" s="599"/>
      <c r="X22" s="599"/>
      <c r="Y22" s="599"/>
      <c r="Z22" s="599"/>
      <c r="AA22" s="811"/>
    </row>
    <row r="23" spans="1:27" ht="20.25" customHeight="1">
      <c r="A23" s="596" t="s">
        <v>182</v>
      </c>
      <c r="B23" s="609">
        <v>2</v>
      </c>
      <c r="C23" s="597">
        <v>1192</v>
      </c>
      <c r="D23" s="598" t="s">
        <v>806</v>
      </c>
      <c r="E23" s="599">
        <v>2384</v>
      </c>
      <c r="F23" s="601">
        <v>750</v>
      </c>
      <c r="G23" s="599">
        <v>100</v>
      </c>
      <c r="H23" s="600"/>
      <c r="I23" s="599">
        <v>3500</v>
      </c>
      <c r="J23" s="600"/>
      <c r="K23" s="600"/>
      <c r="L23" s="600"/>
      <c r="M23" s="600"/>
      <c r="N23" s="600"/>
      <c r="O23" s="600"/>
      <c r="P23" s="600"/>
      <c r="Q23" s="600"/>
      <c r="R23" s="599">
        <v>3117</v>
      </c>
      <c r="S23" s="599">
        <v>6234</v>
      </c>
      <c r="T23" s="599">
        <v>400</v>
      </c>
      <c r="U23" s="599"/>
      <c r="V23" s="599"/>
      <c r="W23" s="599"/>
      <c r="X23" s="599"/>
      <c r="Y23" s="599"/>
      <c r="Z23" s="599"/>
      <c r="AA23" s="811"/>
    </row>
    <row r="24" spans="1:27" ht="20.25" customHeight="1">
      <c r="A24" s="596" t="s">
        <v>87</v>
      </c>
      <c r="B24" s="609">
        <v>1</v>
      </c>
      <c r="C24" s="602">
        <v>1460</v>
      </c>
      <c r="D24" s="598" t="s">
        <v>806</v>
      </c>
      <c r="E24" s="601">
        <v>1460</v>
      </c>
      <c r="F24" s="601">
        <v>450</v>
      </c>
      <c r="G24" s="601">
        <v>50</v>
      </c>
      <c r="H24" s="600"/>
      <c r="I24" s="601">
        <v>1750</v>
      </c>
      <c r="J24" s="600"/>
      <c r="K24" s="600"/>
      <c r="L24" s="600"/>
      <c r="M24" s="600"/>
      <c r="N24" s="600"/>
      <c r="O24" s="600"/>
      <c r="P24" s="600"/>
      <c r="Q24" s="600"/>
      <c r="R24" s="599">
        <v>1730</v>
      </c>
      <c r="S24" s="599">
        <v>3460</v>
      </c>
      <c r="T24" s="599">
        <v>200</v>
      </c>
      <c r="U24" s="599"/>
      <c r="V24" s="599"/>
      <c r="W24" s="599"/>
      <c r="X24" s="599"/>
      <c r="Y24" s="599"/>
      <c r="Z24" s="599"/>
      <c r="AA24" s="811"/>
    </row>
    <row r="25" spans="1:27" ht="20.25" customHeight="1">
      <c r="A25" s="596" t="s">
        <v>191</v>
      </c>
      <c r="B25" s="609">
        <v>1</v>
      </c>
      <c r="C25" s="597">
        <v>1074</v>
      </c>
      <c r="D25" s="598" t="s">
        <v>806</v>
      </c>
      <c r="E25" s="599">
        <v>1074</v>
      </c>
      <c r="F25" s="601">
        <v>375</v>
      </c>
      <c r="G25" s="599">
        <v>50</v>
      </c>
      <c r="H25" s="600"/>
      <c r="I25" s="599">
        <v>1700</v>
      </c>
      <c r="J25" s="600"/>
      <c r="K25" s="600"/>
      <c r="L25" s="600"/>
      <c r="M25" s="600"/>
      <c r="N25" s="600"/>
      <c r="O25" s="600"/>
      <c r="P25" s="600"/>
      <c r="Q25" s="600"/>
      <c r="R25" s="599">
        <v>1474.5</v>
      </c>
      <c r="S25" s="599">
        <v>2949</v>
      </c>
      <c r="T25" s="599">
        <v>200</v>
      </c>
      <c r="U25" s="599"/>
      <c r="V25" s="599"/>
      <c r="W25" s="599"/>
      <c r="X25" s="599"/>
      <c r="Y25" s="599"/>
      <c r="Z25" s="599"/>
      <c r="AA25" s="811"/>
    </row>
    <row r="26" spans="1:27" ht="20.25" customHeight="1">
      <c r="A26" s="596" t="s">
        <v>191</v>
      </c>
      <c r="B26" s="609">
        <v>2</v>
      </c>
      <c r="C26" s="597">
        <v>1074</v>
      </c>
      <c r="D26" s="598" t="s">
        <v>806</v>
      </c>
      <c r="E26" s="599">
        <v>2148</v>
      </c>
      <c r="F26" s="601">
        <v>750</v>
      </c>
      <c r="G26" s="599">
        <v>70</v>
      </c>
      <c r="H26" s="600"/>
      <c r="I26" s="599">
        <v>3400</v>
      </c>
      <c r="J26" s="600"/>
      <c r="K26" s="600"/>
      <c r="L26" s="600"/>
      <c r="M26" s="600"/>
      <c r="N26" s="600"/>
      <c r="O26" s="600"/>
      <c r="P26" s="600"/>
      <c r="Q26" s="600"/>
      <c r="R26" s="599">
        <v>2934</v>
      </c>
      <c r="S26" s="599">
        <v>5868</v>
      </c>
      <c r="T26" s="599">
        <v>400</v>
      </c>
      <c r="U26" s="599"/>
      <c r="V26" s="599"/>
      <c r="W26" s="599"/>
      <c r="X26" s="599"/>
      <c r="Y26" s="599"/>
      <c r="Z26" s="599"/>
      <c r="AA26" s="811"/>
    </row>
    <row r="27" spans="1:27" ht="20.25" customHeight="1">
      <c r="A27" s="596" t="s">
        <v>182</v>
      </c>
      <c r="B27" s="609">
        <v>1</v>
      </c>
      <c r="C27" s="602">
        <v>1192</v>
      </c>
      <c r="D27" s="598" t="s">
        <v>806</v>
      </c>
      <c r="E27" s="601">
        <v>1192</v>
      </c>
      <c r="F27" s="601">
        <v>375</v>
      </c>
      <c r="G27" s="601"/>
      <c r="H27" s="600"/>
      <c r="I27" s="601">
        <v>1750</v>
      </c>
      <c r="J27" s="600"/>
      <c r="K27" s="600"/>
      <c r="L27" s="600"/>
      <c r="M27" s="600"/>
      <c r="N27" s="600"/>
      <c r="O27" s="600"/>
      <c r="P27" s="600"/>
      <c r="Q27" s="600"/>
      <c r="R27" s="599">
        <v>1533.5</v>
      </c>
      <c r="S27" s="599">
        <v>3067</v>
      </c>
      <c r="T27" s="599">
        <v>200</v>
      </c>
      <c r="U27" s="599"/>
      <c r="V27" s="599"/>
      <c r="W27" s="599"/>
      <c r="X27" s="599"/>
      <c r="Y27" s="599"/>
      <c r="Z27" s="599"/>
      <c r="AA27" s="811"/>
    </row>
    <row r="28" spans="1:27" ht="20.25" customHeight="1">
      <c r="A28" s="596" t="s">
        <v>40</v>
      </c>
      <c r="B28" s="609">
        <v>1</v>
      </c>
      <c r="C28" s="597">
        <v>1831</v>
      </c>
      <c r="D28" s="598" t="s">
        <v>806</v>
      </c>
      <c r="E28" s="599">
        <v>1831</v>
      </c>
      <c r="F28" s="601">
        <v>500</v>
      </c>
      <c r="G28" s="599"/>
      <c r="H28" s="600"/>
      <c r="I28" s="599">
        <v>1950</v>
      </c>
      <c r="J28" s="600"/>
      <c r="K28" s="600"/>
      <c r="L28" s="600"/>
      <c r="M28" s="600"/>
      <c r="N28" s="600"/>
      <c r="O28" s="600"/>
      <c r="P28" s="600"/>
      <c r="Q28" s="600"/>
      <c r="R28" s="599">
        <v>2015.5</v>
      </c>
      <c r="S28" s="599">
        <v>4031</v>
      </c>
      <c r="T28" s="599">
        <v>200</v>
      </c>
      <c r="U28" s="599"/>
      <c r="V28" s="599"/>
      <c r="W28" s="599"/>
      <c r="X28" s="599"/>
      <c r="Y28" s="599"/>
      <c r="Z28" s="599"/>
      <c r="AA28" s="811"/>
    </row>
    <row r="29" spans="1:27" ht="20.25" customHeight="1">
      <c r="A29" s="596" t="s">
        <v>814</v>
      </c>
      <c r="B29" s="609">
        <v>1</v>
      </c>
      <c r="C29" s="597">
        <v>3757</v>
      </c>
      <c r="D29" s="598" t="s">
        <v>806</v>
      </c>
      <c r="E29" s="599">
        <v>3757</v>
      </c>
      <c r="F29" s="601">
        <v>600</v>
      </c>
      <c r="G29" s="599"/>
      <c r="H29" s="600"/>
      <c r="I29" s="599">
        <v>2150</v>
      </c>
      <c r="J29" s="600"/>
      <c r="K29" s="600"/>
      <c r="L29" s="600"/>
      <c r="M29" s="600"/>
      <c r="N29" s="600"/>
      <c r="O29" s="600"/>
      <c r="P29" s="600"/>
      <c r="Q29" s="600"/>
      <c r="R29" s="599">
        <v>3128.5</v>
      </c>
      <c r="S29" s="599">
        <v>6257</v>
      </c>
      <c r="T29" s="599">
        <v>200</v>
      </c>
      <c r="U29" s="599"/>
      <c r="V29" s="599"/>
      <c r="W29" s="599"/>
      <c r="X29" s="599"/>
      <c r="Y29" s="599"/>
      <c r="Z29" s="599"/>
      <c r="AA29" s="811"/>
    </row>
    <row r="30" spans="1:27" ht="20.25" customHeight="1">
      <c r="A30" s="596" t="s">
        <v>816</v>
      </c>
      <c r="B30" s="609">
        <v>1</v>
      </c>
      <c r="C30" s="597">
        <v>3987</v>
      </c>
      <c r="D30" s="598" t="s">
        <v>806</v>
      </c>
      <c r="E30" s="599">
        <v>3987</v>
      </c>
      <c r="F30" s="601">
        <v>500</v>
      </c>
      <c r="G30" s="599"/>
      <c r="H30" s="600"/>
      <c r="I30" s="599">
        <v>2150</v>
      </c>
      <c r="J30" s="600"/>
      <c r="K30" s="600"/>
      <c r="L30" s="600"/>
      <c r="M30" s="600"/>
      <c r="N30" s="600"/>
      <c r="O30" s="600"/>
      <c r="P30" s="600"/>
      <c r="Q30" s="600"/>
      <c r="R30" s="599">
        <v>3193.5</v>
      </c>
      <c r="S30" s="599">
        <v>6387</v>
      </c>
      <c r="T30" s="599">
        <v>200</v>
      </c>
      <c r="U30" s="599"/>
      <c r="V30" s="599"/>
      <c r="W30" s="599"/>
      <c r="X30" s="599"/>
      <c r="Y30" s="599"/>
      <c r="Z30" s="599"/>
      <c r="AA30" s="811"/>
    </row>
    <row r="31" spans="1:27" ht="20.25" customHeight="1">
      <c r="A31" s="596" t="s">
        <v>822</v>
      </c>
      <c r="B31" s="609">
        <v>1</v>
      </c>
      <c r="C31" s="597">
        <v>1960</v>
      </c>
      <c r="D31" s="598" t="s">
        <v>806</v>
      </c>
      <c r="E31" s="599">
        <v>1960</v>
      </c>
      <c r="F31" s="601">
        <v>450</v>
      </c>
      <c r="G31" s="599">
        <v>75</v>
      </c>
      <c r="H31" s="600"/>
      <c r="I31" s="599">
        <v>2050</v>
      </c>
      <c r="J31" s="600"/>
      <c r="K31" s="600"/>
      <c r="L31" s="600"/>
      <c r="M31" s="600"/>
      <c r="N31" s="600"/>
      <c r="O31" s="600"/>
      <c r="P31" s="600"/>
      <c r="Q31" s="600"/>
      <c r="R31" s="599">
        <v>2142.5</v>
      </c>
      <c r="S31" s="599">
        <v>4285</v>
      </c>
      <c r="T31" s="599">
        <v>200</v>
      </c>
      <c r="U31" s="599"/>
      <c r="V31" s="599"/>
      <c r="W31" s="599"/>
      <c r="X31" s="599"/>
      <c r="Y31" s="599"/>
      <c r="Z31" s="599"/>
      <c r="AA31" s="811"/>
    </row>
    <row r="32" spans="1:27" ht="20.25" customHeight="1">
      <c r="A32" s="596" t="s">
        <v>823</v>
      </c>
      <c r="B32" s="609">
        <v>1</v>
      </c>
      <c r="C32" s="597">
        <v>1682</v>
      </c>
      <c r="D32" s="598" t="s">
        <v>806</v>
      </c>
      <c r="E32" s="601">
        <v>1682</v>
      </c>
      <c r="F32" s="601">
        <v>450</v>
      </c>
      <c r="G32" s="599">
        <v>50</v>
      </c>
      <c r="H32" s="600"/>
      <c r="I32" s="599">
        <v>1750</v>
      </c>
      <c r="J32" s="600"/>
      <c r="K32" s="600"/>
      <c r="L32" s="600"/>
      <c r="M32" s="600"/>
      <c r="N32" s="600"/>
      <c r="O32" s="600"/>
      <c r="P32" s="600"/>
      <c r="Q32" s="600"/>
      <c r="R32" s="599">
        <v>1841</v>
      </c>
      <c r="S32" s="599">
        <v>3682</v>
      </c>
      <c r="T32" s="599">
        <v>200</v>
      </c>
      <c r="U32" s="599"/>
      <c r="V32" s="599"/>
      <c r="W32" s="599"/>
      <c r="X32" s="599"/>
      <c r="Y32" s="599"/>
      <c r="Z32" s="599"/>
      <c r="AA32" s="811"/>
    </row>
    <row r="33" spans="1:27" ht="20.25" customHeight="1">
      <c r="A33" s="596" t="s">
        <v>816</v>
      </c>
      <c r="B33" s="609">
        <v>1</v>
      </c>
      <c r="C33" s="597">
        <v>3987</v>
      </c>
      <c r="D33" s="598" t="s">
        <v>807</v>
      </c>
      <c r="E33" s="599">
        <v>3987</v>
      </c>
      <c r="F33" s="599">
        <v>600</v>
      </c>
      <c r="G33" s="599"/>
      <c r="H33" s="599"/>
      <c r="I33" s="599">
        <v>2150</v>
      </c>
      <c r="J33" s="600"/>
      <c r="K33" s="600"/>
      <c r="L33" s="600"/>
      <c r="M33" s="600"/>
      <c r="N33" s="600"/>
      <c r="O33" s="600"/>
      <c r="P33" s="600"/>
      <c r="Q33" s="600"/>
      <c r="R33" s="599">
        <v>3243.5</v>
      </c>
      <c r="S33" s="599">
        <v>6487</v>
      </c>
      <c r="T33" s="599">
        <v>200</v>
      </c>
      <c r="U33" s="599"/>
      <c r="V33" s="599"/>
      <c r="W33" s="599"/>
      <c r="X33" s="599"/>
      <c r="Y33" s="599"/>
      <c r="Z33" s="599"/>
      <c r="AA33" s="811"/>
    </row>
    <row r="34" spans="1:27" ht="20.25" customHeight="1">
      <c r="A34" s="596" t="s">
        <v>814</v>
      </c>
      <c r="B34" s="609">
        <v>1</v>
      </c>
      <c r="C34" s="602">
        <v>3757</v>
      </c>
      <c r="D34" s="598" t="s">
        <v>807</v>
      </c>
      <c r="E34" s="601">
        <v>3757</v>
      </c>
      <c r="F34" s="599">
        <v>600</v>
      </c>
      <c r="G34" s="601"/>
      <c r="H34" s="601"/>
      <c r="I34" s="601">
        <v>2150</v>
      </c>
      <c r="J34" s="600"/>
      <c r="K34" s="600"/>
      <c r="L34" s="600"/>
      <c r="M34" s="600"/>
      <c r="N34" s="600"/>
      <c r="O34" s="600"/>
      <c r="P34" s="600"/>
      <c r="Q34" s="600"/>
      <c r="R34" s="599">
        <v>3128.5</v>
      </c>
      <c r="S34" s="599">
        <v>6257</v>
      </c>
      <c r="T34" s="599">
        <v>200</v>
      </c>
      <c r="U34" s="599"/>
      <c r="V34" s="599"/>
      <c r="W34" s="599"/>
      <c r="X34" s="599"/>
      <c r="Y34" s="599"/>
      <c r="Z34" s="599"/>
      <c r="AA34" s="811"/>
    </row>
    <row r="35" spans="1:27" ht="20.25" customHeight="1">
      <c r="A35" s="596" t="s">
        <v>824</v>
      </c>
      <c r="B35" s="609">
        <v>1</v>
      </c>
      <c r="C35" s="602">
        <v>6925</v>
      </c>
      <c r="D35" s="598" t="s">
        <v>805</v>
      </c>
      <c r="E35" s="600"/>
      <c r="F35" s="600"/>
      <c r="G35" s="600"/>
      <c r="H35" s="600"/>
      <c r="I35" s="600"/>
      <c r="J35" s="602">
        <v>6925</v>
      </c>
      <c r="K35" s="599"/>
      <c r="L35" s="599"/>
      <c r="M35" s="599">
        <v>2250</v>
      </c>
      <c r="N35" s="600"/>
      <c r="O35" s="600"/>
      <c r="P35" s="600"/>
      <c r="Q35" s="600"/>
      <c r="R35" s="599">
        <v>8925</v>
      </c>
      <c r="S35" s="599">
        <v>8925</v>
      </c>
      <c r="T35" s="599">
        <v>200</v>
      </c>
      <c r="U35" s="599"/>
      <c r="V35" s="599"/>
      <c r="W35" s="599"/>
      <c r="X35" s="599"/>
      <c r="Y35" s="599"/>
      <c r="Z35" s="599"/>
      <c r="AA35" s="811"/>
    </row>
    <row r="36" spans="1:27" ht="20.25" customHeight="1">
      <c r="A36" s="596" t="s">
        <v>825</v>
      </c>
      <c r="B36" s="609">
        <v>1</v>
      </c>
      <c r="C36" s="602">
        <v>6925</v>
      </c>
      <c r="D36" s="598" t="s">
        <v>805</v>
      </c>
      <c r="E36" s="600"/>
      <c r="F36" s="600"/>
      <c r="G36" s="600"/>
      <c r="H36" s="600"/>
      <c r="I36" s="600"/>
      <c r="J36" s="602">
        <v>6925</v>
      </c>
      <c r="K36" s="599"/>
      <c r="L36" s="599"/>
      <c r="M36" s="599">
        <v>2250</v>
      </c>
      <c r="N36" s="600"/>
      <c r="O36" s="600"/>
      <c r="P36" s="600"/>
      <c r="Q36" s="600"/>
      <c r="R36" s="599">
        <v>8925</v>
      </c>
      <c r="S36" s="599">
        <v>8925</v>
      </c>
      <c r="T36" s="599">
        <v>200</v>
      </c>
      <c r="U36" s="599"/>
      <c r="V36" s="599"/>
      <c r="W36" s="599"/>
      <c r="X36" s="599"/>
      <c r="Y36" s="599"/>
      <c r="Z36" s="599"/>
      <c r="AA36" s="811"/>
    </row>
    <row r="37" spans="1:27" ht="20.25" customHeight="1">
      <c r="A37" s="596" t="s">
        <v>826</v>
      </c>
      <c r="B37" s="609">
        <v>1</v>
      </c>
      <c r="C37" s="602">
        <v>9387</v>
      </c>
      <c r="D37" s="598" t="s">
        <v>805</v>
      </c>
      <c r="E37" s="600"/>
      <c r="F37" s="600"/>
      <c r="G37" s="600"/>
      <c r="H37" s="600"/>
      <c r="I37" s="600"/>
      <c r="J37" s="602">
        <v>9387</v>
      </c>
      <c r="K37" s="599"/>
      <c r="L37" s="599">
        <v>375</v>
      </c>
      <c r="M37" s="599">
        <v>2250</v>
      </c>
      <c r="N37" s="600"/>
      <c r="O37" s="600"/>
      <c r="P37" s="600"/>
      <c r="Q37" s="600"/>
      <c r="R37" s="599">
        <v>11762</v>
      </c>
      <c r="S37" s="599">
        <v>11762</v>
      </c>
      <c r="T37" s="599">
        <v>200</v>
      </c>
      <c r="U37" s="599"/>
      <c r="V37" s="599"/>
      <c r="W37" s="599"/>
      <c r="X37" s="599"/>
      <c r="Y37" s="599"/>
      <c r="Z37" s="599"/>
      <c r="AA37" s="811"/>
    </row>
    <row r="38" spans="1:27" ht="20.25" customHeight="1">
      <c r="A38" s="596" t="s">
        <v>827</v>
      </c>
      <c r="B38" s="609">
        <v>2</v>
      </c>
      <c r="C38" s="602">
        <v>5011</v>
      </c>
      <c r="D38" s="598" t="s">
        <v>805</v>
      </c>
      <c r="E38" s="600"/>
      <c r="F38" s="600"/>
      <c r="G38" s="600"/>
      <c r="H38" s="600"/>
      <c r="I38" s="600"/>
      <c r="J38" s="602">
        <v>10022</v>
      </c>
      <c r="K38" s="599"/>
      <c r="L38" s="599"/>
      <c r="M38" s="599">
        <v>4500</v>
      </c>
      <c r="N38" s="600"/>
      <c r="O38" s="600"/>
      <c r="P38" s="600"/>
      <c r="Q38" s="600"/>
      <c r="R38" s="599">
        <v>14022</v>
      </c>
      <c r="S38" s="599">
        <v>14022</v>
      </c>
      <c r="T38" s="599">
        <v>400</v>
      </c>
      <c r="U38" s="599"/>
      <c r="V38" s="599"/>
      <c r="W38" s="599"/>
      <c r="X38" s="599"/>
      <c r="Y38" s="599"/>
      <c r="Z38" s="599"/>
      <c r="AA38" s="811"/>
    </row>
    <row r="39" spans="1:27" ht="20.25" customHeight="1">
      <c r="A39" s="596" t="s">
        <v>827</v>
      </c>
      <c r="B39" s="609">
        <v>1</v>
      </c>
      <c r="C39" s="602">
        <v>5539</v>
      </c>
      <c r="D39" s="598" t="s">
        <v>805</v>
      </c>
      <c r="E39" s="600"/>
      <c r="F39" s="600"/>
      <c r="G39" s="600"/>
      <c r="H39" s="600"/>
      <c r="I39" s="600"/>
      <c r="J39" s="602">
        <v>5539</v>
      </c>
      <c r="K39" s="599"/>
      <c r="L39" s="599"/>
      <c r="M39" s="599">
        <v>2250</v>
      </c>
      <c r="N39" s="600"/>
      <c r="O39" s="600"/>
      <c r="P39" s="600"/>
      <c r="Q39" s="600"/>
      <c r="R39" s="599">
        <v>7539</v>
      </c>
      <c r="S39" s="599">
        <v>7539</v>
      </c>
      <c r="T39" s="599">
        <v>200</v>
      </c>
      <c r="U39" s="599"/>
      <c r="V39" s="599"/>
      <c r="W39" s="599"/>
      <c r="X39" s="599"/>
      <c r="Y39" s="599"/>
      <c r="Z39" s="599"/>
      <c r="AA39" s="811"/>
    </row>
    <row r="40" spans="1:27" ht="20.25" customHeight="1">
      <c r="A40" s="596" t="s">
        <v>828</v>
      </c>
      <c r="B40" s="609">
        <v>1</v>
      </c>
      <c r="C40" s="602">
        <v>2315</v>
      </c>
      <c r="D40" s="598" t="s">
        <v>805</v>
      </c>
      <c r="E40" s="600"/>
      <c r="F40" s="600"/>
      <c r="G40" s="600"/>
      <c r="H40" s="600"/>
      <c r="I40" s="600"/>
      <c r="J40" s="602">
        <v>2315</v>
      </c>
      <c r="K40" s="599"/>
      <c r="L40" s="599"/>
      <c r="M40" s="599">
        <v>1750</v>
      </c>
      <c r="N40" s="600"/>
      <c r="O40" s="600"/>
      <c r="P40" s="600"/>
      <c r="Q40" s="600"/>
      <c r="R40" s="599">
        <v>3815</v>
      </c>
      <c r="S40" s="599">
        <v>3815</v>
      </c>
      <c r="T40" s="599">
        <v>200</v>
      </c>
      <c r="U40" s="599"/>
      <c r="V40" s="599"/>
      <c r="W40" s="599"/>
      <c r="X40" s="599"/>
      <c r="Y40" s="599"/>
      <c r="Z40" s="599"/>
      <c r="AA40" s="811"/>
    </row>
    <row r="41" spans="1:27" ht="20.25" customHeight="1">
      <c r="A41" s="596" t="s">
        <v>829</v>
      </c>
      <c r="B41" s="609">
        <v>1</v>
      </c>
      <c r="C41" s="602">
        <v>5011</v>
      </c>
      <c r="D41" s="598" t="s">
        <v>805</v>
      </c>
      <c r="E41" s="600"/>
      <c r="F41" s="600"/>
      <c r="G41" s="600"/>
      <c r="H41" s="600"/>
      <c r="I41" s="600"/>
      <c r="J41" s="602">
        <v>5011</v>
      </c>
      <c r="K41" s="599"/>
      <c r="L41" s="599"/>
      <c r="M41" s="601">
        <v>2250</v>
      </c>
      <c r="N41" s="600"/>
      <c r="O41" s="600"/>
      <c r="P41" s="600"/>
      <c r="Q41" s="600"/>
      <c r="R41" s="599">
        <v>7011</v>
      </c>
      <c r="S41" s="599">
        <v>7011</v>
      </c>
      <c r="T41" s="599">
        <v>200</v>
      </c>
      <c r="U41" s="599"/>
      <c r="V41" s="599"/>
      <c r="W41" s="599"/>
      <c r="X41" s="599"/>
      <c r="Y41" s="599"/>
      <c r="Z41" s="599"/>
      <c r="AA41" s="811"/>
    </row>
    <row r="42" spans="1:27" ht="20.25" customHeight="1">
      <c r="A42" s="596" t="s">
        <v>830</v>
      </c>
      <c r="B42" s="609">
        <v>1</v>
      </c>
      <c r="C42" s="602">
        <v>2500</v>
      </c>
      <c r="D42" s="598" t="s">
        <v>805</v>
      </c>
      <c r="E42" s="600"/>
      <c r="F42" s="600"/>
      <c r="G42" s="600"/>
      <c r="H42" s="600"/>
      <c r="I42" s="600"/>
      <c r="J42" s="602">
        <v>2500</v>
      </c>
      <c r="K42" s="599"/>
      <c r="L42" s="599"/>
      <c r="M42" s="601">
        <v>1750</v>
      </c>
      <c r="N42" s="600"/>
      <c r="O42" s="600"/>
      <c r="P42" s="600"/>
      <c r="Q42" s="600"/>
      <c r="R42" s="599">
        <v>4000</v>
      </c>
      <c r="S42" s="599">
        <v>4000</v>
      </c>
      <c r="T42" s="599">
        <v>200</v>
      </c>
      <c r="U42" s="599"/>
      <c r="V42" s="599"/>
      <c r="W42" s="599"/>
      <c r="X42" s="599"/>
      <c r="Y42" s="599"/>
      <c r="Z42" s="599"/>
      <c r="AA42" s="811"/>
    </row>
    <row r="43" spans="1:27" ht="20.25" customHeight="1">
      <c r="A43" s="596" t="s">
        <v>831</v>
      </c>
      <c r="B43" s="609">
        <v>1</v>
      </c>
      <c r="C43" s="602">
        <v>2315</v>
      </c>
      <c r="D43" s="598" t="s">
        <v>806</v>
      </c>
      <c r="E43" s="600"/>
      <c r="F43" s="600"/>
      <c r="G43" s="600"/>
      <c r="H43" s="600"/>
      <c r="I43" s="600"/>
      <c r="J43" s="602">
        <v>2315</v>
      </c>
      <c r="K43" s="599"/>
      <c r="L43" s="599"/>
      <c r="M43" s="599">
        <v>1750</v>
      </c>
      <c r="N43" s="600"/>
      <c r="O43" s="600"/>
      <c r="P43" s="600"/>
      <c r="Q43" s="600"/>
      <c r="R43" s="599">
        <v>3815</v>
      </c>
      <c r="S43" s="599">
        <v>3815</v>
      </c>
      <c r="T43" s="599">
        <v>200</v>
      </c>
      <c r="U43" s="599"/>
      <c r="V43" s="599"/>
      <c r="W43" s="599"/>
      <c r="X43" s="599"/>
      <c r="Y43" s="599"/>
      <c r="Z43" s="599"/>
      <c r="AA43" s="811"/>
    </row>
    <row r="44" spans="1:27" ht="33" customHeight="1">
      <c r="A44" s="596" t="s">
        <v>832</v>
      </c>
      <c r="B44" s="609">
        <v>1</v>
      </c>
      <c r="C44" s="602">
        <v>6000</v>
      </c>
      <c r="D44" s="598" t="s">
        <v>806</v>
      </c>
      <c r="E44" s="600"/>
      <c r="F44" s="600"/>
      <c r="G44" s="600"/>
      <c r="H44" s="600"/>
      <c r="I44" s="600"/>
      <c r="J44" s="602">
        <v>6000</v>
      </c>
      <c r="K44" s="599"/>
      <c r="L44" s="599"/>
      <c r="M44" s="599">
        <v>2250</v>
      </c>
      <c r="N44" s="600"/>
      <c r="O44" s="600"/>
      <c r="P44" s="600"/>
      <c r="Q44" s="600"/>
      <c r="R44" s="599">
        <v>8000</v>
      </c>
      <c r="S44" s="599">
        <v>8000</v>
      </c>
      <c r="T44" s="599">
        <v>200</v>
      </c>
      <c r="U44" s="599"/>
      <c r="V44" s="599"/>
      <c r="W44" s="599"/>
      <c r="X44" s="599"/>
      <c r="Y44" s="599"/>
      <c r="Z44" s="599"/>
      <c r="AA44" s="811"/>
    </row>
    <row r="45" spans="1:27" ht="33" customHeight="1">
      <c r="A45" s="596" t="s">
        <v>833</v>
      </c>
      <c r="B45" s="609">
        <v>1</v>
      </c>
      <c r="C45" s="602">
        <v>6000</v>
      </c>
      <c r="D45" s="598" t="s">
        <v>806</v>
      </c>
      <c r="E45" s="600"/>
      <c r="F45" s="600"/>
      <c r="G45" s="600"/>
      <c r="H45" s="600"/>
      <c r="I45" s="600"/>
      <c r="J45" s="602">
        <v>6000</v>
      </c>
      <c r="K45" s="599"/>
      <c r="L45" s="599"/>
      <c r="M45" s="599">
        <v>2250</v>
      </c>
      <c r="N45" s="600"/>
      <c r="O45" s="600"/>
      <c r="P45" s="600"/>
      <c r="Q45" s="600"/>
      <c r="R45" s="599">
        <v>8000</v>
      </c>
      <c r="S45" s="599">
        <v>8000</v>
      </c>
      <c r="T45" s="599">
        <v>200</v>
      </c>
      <c r="U45" s="599"/>
      <c r="V45" s="599"/>
      <c r="W45" s="599"/>
      <c r="X45" s="599"/>
      <c r="Y45" s="599"/>
      <c r="Z45" s="599"/>
      <c r="AA45" s="811"/>
    </row>
    <row r="46" spans="1:27" ht="33" customHeight="1">
      <c r="A46" s="596" t="s">
        <v>834</v>
      </c>
      <c r="B46" s="609">
        <v>1</v>
      </c>
      <c r="C46" s="602">
        <v>6000</v>
      </c>
      <c r="D46" s="598" t="s">
        <v>806</v>
      </c>
      <c r="E46" s="600"/>
      <c r="F46" s="600"/>
      <c r="G46" s="600"/>
      <c r="H46" s="600"/>
      <c r="I46" s="600"/>
      <c r="J46" s="602">
        <v>6000</v>
      </c>
      <c r="K46" s="599"/>
      <c r="L46" s="599"/>
      <c r="M46" s="599">
        <v>2250</v>
      </c>
      <c r="N46" s="600"/>
      <c r="O46" s="600"/>
      <c r="P46" s="600"/>
      <c r="Q46" s="600"/>
      <c r="R46" s="599">
        <v>8000</v>
      </c>
      <c r="S46" s="599">
        <v>8000</v>
      </c>
      <c r="T46" s="599">
        <v>200</v>
      </c>
      <c r="U46" s="599"/>
      <c r="V46" s="599"/>
      <c r="W46" s="599"/>
      <c r="X46" s="599"/>
      <c r="Y46" s="599"/>
      <c r="Z46" s="599"/>
      <c r="AA46" s="811"/>
    </row>
    <row r="47" spans="1:27" ht="20.25" customHeight="1">
      <c r="A47" s="596" t="s">
        <v>835</v>
      </c>
      <c r="B47" s="609">
        <v>1</v>
      </c>
      <c r="C47" s="602">
        <v>6000</v>
      </c>
      <c r="D47" s="598" t="s">
        <v>806</v>
      </c>
      <c r="E47" s="600"/>
      <c r="F47" s="600"/>
      <c r="G47" s="600"/>
      <c r="H47" s="600"/>
      <c r="I47" s="600"/>
      <c r="J47" s="602">
        <v>6000</v>
      </c>
      <c r="K47" s="599"/>
      <c r="L47" s="599">
        <v>375</v>
      </c>
      <c r="M47" s="599">
        <v>2250</v>
      </c>
      <c r="N47" s="600"/>
      <c r="O47" s="600"/>
      <c r="P47" s="600"/>
      <c r="Q47" s="600"/>
      <c r="R47" s="599">
        <v>8375</v>
      </c>
      <c r="S47" s="599">
        <v>8375</v>
      </c>
      <c r="T47" s="599">
        <v>200</v>
      </c>
      <c r="U47" s="599"/>
      <c r="V47" s="599"/>
      <c r="W47" s="599"/>
      <c r="X47" s="599"/>
      <c r="Y47" s="599"/>
      <c r="Z47" s="599"/>
      <c r="AA47" s="811"/>
    </row>
    <row r="48" spans="1:27" ht="20.25" customHeight="1">
      <c r="A48" s="596" t="s">
        <v>836</v>
      </c>
      <c r="B48" s="609">
        <v>1</v>
      </c>
      <c r="C48" s="602">
        <v>2500</v>
      </c>
      <c r="D48" s="598" t="s">
        <v>806</v>
      </c>
      <c r="E48" s="600"/>
      <c r="F48" s="600"/>
      <c r="G48" s="600"/>
      <c r="H48" s="600"/>
      <c r="I48" s="600"/>
      <c r="J48" s="602">
        <v>2500</v>
      </c>
      <c r="K48" s="599"/>
      <c r="L48" s="599"/>
      <c r="M48" s="599">
        <v>1750</v>
      </c>
      <c r="N48" s="600"/>
      <c r="O48" s="600"/>
      <c r="P48" s="600"/>
      <c r="Q48" s="600"/>
      <c r="R48" s="599">
        <v>4000</v>
      </c>
      <c r="S48" s="599">
        <v>4000</v>
      </c>
      <c r="T48" s="599">
        <v>200</v>
      </c>
      <c r="U48" s="599"/>
      <c r="V48" s="599"/>
      <c r="W48" s="599"/>
      <c r="X48" s="599"/>
      <c r="Y48" s="599"/>
      <c r="Z48" s="599"/>
      <c r="AA48" s="811"/>
    </row>
    <row r="49" spans="1:27" ht="20.25" customHeight="1">
      <c r="A49" s="596" t="s">
        <v>837</v>
      </c>
      <c r="B49" s="609">
        <v>1</v>
      </c>
      <c r="C49" s="602">
        <v>2500</v>
      </c>
      <c r="D49" s="598" t="s">
        <v>806</v>
      </c>
      <c r="E49" s="600"/>
      <c r="F49" s="600"/>
      <c r="G49" s="600"/>
      <c r="H49" s="600"/>
      <c r="I49" s="600"/>
      <c r="J49" s="602">
        <v>2500</v>
      </c>
      <c r="K49" s="599"/>
      <c r="L49" s="599"/>
      <c r="M49" s="599">
        <v>1750</v>
      </c>
      <c r="N49" s="600"/>
      <c r="O49" s="600"/>
      <c r="P49" s="600"/>
      <c r="Q49" s="600"/>
      <c r="R49" s="599">
        <v>4000</v>
      </c>
      <c r="S49" s="599">
        <v>4000</v>
      </c>
      <c r="T49" s="599">
        <v>200</v>
      </c>
      <c r="U49" s="599"/>
      <c r="V49" s="599"/>
      <c r="W49" s="599"/>
      <c r="X49" s="599"/>
      <c r="Y49" s="599"/>
      <c r="Z49" s="599"/>
      <c r="AA49" s="811"/>
    </row>
    <row r="50" spans="1:27" ht="20.25" customHeight="1">
      <c r="A50" s="596" t="s">
        <v>838</v>
      </c>
      <c r="B50" s="609">
        <v>1</v>
      </c>
      <c r="C50" s="602">
        <v>6067</v>
      </c>
      <c r="D50" s="598" t="s">
        <v>807</v>
      </c>
      <c r="E50" s="600"/>
      <c r="F50" s="600"/>
      <c r="G50" s="600"/>
      <c r="H50" s="600"/>
      <c r="I50" s="600"/>
      <c r="J50" s="602">
        <v>6067</v>
      </c>
      <c r="K50" s="600"/>
      <c r="L50" s="599"/>
      <c r="M50" s="599">
        <v>2250</v>
      </c>
      <c r="N50" s="600"/>
      <c r="O50" s="600"/>
      <c r="P50" s="600"/>
      <c r="Q50" s="600"/>
      <c r="R50" s="599">
        <v>8067</v>
      </c>
      <c r="S50" s="599">
        <v>8067</v>
      </c>
      <c r="T50" s="599">
        <v>200</v>
      </c>
      <c r="U50" s="599"/>
      <c r="V50" s="599"/>
      <c r="W50" s="599"/>
      <c r="X50" s="599"/>
      <c r="Y50" s="599"/>
      <c r="Z50" s="599"/>
      <c r="AA50" s="811"/>
    </row>
    <row r="51" spans="1:27" ht="20.25" customHeight="1">
      <c r="A51" s="596" t="s">
        <v>59</v>
      </c>
      <c r="B51" s="609">
        <v>1</v>
      </c>
      <c r="C51" s="597">
        <v>16000</v>
      </c>
      <c r="D51" s="598" t="s">
        <v>805</v>
      </c>
      <c r="E51" s="603"/>
      <c r="F51" s="600"/>
      <c r="G51" s="600"/>
      <c r="H51" s="600"/>
      <c r="I51" s="600"/>
      <c r="J51" s="600"/>
      <c r="K51" s="599">
        <v>16000</v>
      </c>
      <c r="L51" s="599">
        <v>375</v>
      </c>
      <c r="M51" s="599">
        <v>250</v>
      </c>
      <c r="N51" s="600"/>
      <c r="O51" s="600"/>
      <c r="P51" s="600"/>
      <c r="Q51" s="600"/>
      <c r="R51" s="599">
        <v>8187.5</v>
      </c>
      <c r="S51" s="599">
        <v>16375</v>
      </c>
      <c r="T51" s="599">
        <v>200</v>
      </c>
      <c r="U51" s="599"/>
      <c r="V51" s="599"/>
      <c r="W51" s="599"/>
      <c r="X51" s="599"/>
      <c r="Y51" s="599"/>
      <c r="Z51" s="599"/>
      <c r="AA51" s="811"/>
    </row>
    <row r="52" spans="1:27" ht="20.25" customHeight="1">
      <c r="A52" s="596" t="s">
        <v>62</v>
      </c>
      <c r="B52" s="609">
        <v>1</v>
      </c>
      <c r="C52" s="597">
        <v>11000</v>
      </c>
      <c r="D52" s="598" t="s">
        <v>805</v>
      </c>
      <c r="E52" s="600"/>
      <c r="F52" s="600"/>
      <c r="G52" s="600"/>
      <c r="H52" s="600"/>
      <c r="I52" s="600"/>
      <c r="J52" s="600"/>
      <c r="K52" s="599">
        <v>11000</v>
      </c>
      <c r="L52" s="599"/>
      <c r="M52" s="599">
        <v>250</v>
      </c>
      <c r="N52" s="600"/>
      <c r="O52" s="600"/>
      <c r="P52" s="600"/>
      <c r="Q52" s="600"/>
      <c r="R52" s="599">
        <v>5500</v>
      </c>
      <c r="S52" s="599">
        <v>11000</v>
      </c>
      <c r="T52" s="599">
        <v>200</v>
      </c>
      <c r="U52" s="599"/>
      <c r="V52" s="599"/>
      <c r="W52" s="599"/>
      <c r="X52" s="599"/>
      <c r="Y52" s="599"/>
      <c r="Z52" s="599"/>
      <c r="AA52" s="811"/>
    </row>
    <row r="53" spans="1:27" ht="20.25" customHeight="1">
      <c r="A53" s="596" t="s">
        <v>839</v>
      </c>
      <c r="B53" s="609">
        <v>1</v>
      </c>
      <c r="C53" s="597">
        <v>11500</v>
      </c>
      <c r="D53" s="598" t="s">
        <v>805</v>
      </c>
      <c r="E53" s="600"/>
      <c r="F53" s="600"/>
      <c r="G53" s="600"/>
      <c r="H53" s="600"/>
      <c r="I53" s="600"/>
      <c r="J53" s="600"/>
      <c r="K53" s="599">
        <v>11500</v>
      </c>
      <c r="L53" s="599">
        <v>375</v>
      </c>
      <c r="M53" s="599">
        <v>250</v>
      </c>
      <c r="N53" s="600"/>
      <c r="O53" s="600"/>
      <c r="P53" s="600"/>
      <c r="Q53" s="600"/>
      <c r="R53" s="599">
        <v>5937.5</v>
      </c>
      <c r="S53" s="599">
        <v>11875</v>
      </c>
      <c r="T53" s="599">
        <v>200</v>
      </c>
      <c r="U53" s="599"/>
      <c r="V53" s="599"/>
      <c r="W53" s="599"/>
      <c r="X53" s="599"/>
      <c r="Y53" s="599"/>
      <c r="Z53" s="599"/>
      <c r="AA53" s="811"/>
    </row>
    <row r="54" spans="1:27" ht="20.25" customHeight="1">
      <c r="A54" s="596" t="s">
        <v>59</v>
      </c>
      <c r="B54" s="609">
        <v>3</v>
      </c>
      <c r="C54" s="597">
        <v>18500</v>
      </c>
      <c r="D54" s="598" t="s">
        <v>805</v>
      </c>
      <c r="E54" s="600"/>
      <c r="F54" s="600"/>
      <c r="G54" s="600"/>
      <c r="H54" s="600"/>
      <c r="I54" s="600"/>
      <c r="J54" s="600"/>
      <c r="K54" s="599">
        <v>55500</v>
      </c>
      <c r="L54" s="599">
        <v>1125</v>
      </c>
      <c r="M54" s="599">
        <v>750</v>
      </c>
      <c r="N54" s="600"/>
      <c r="O54" s="600"/>
      <c r="P54" s="600"/>
      <c r="Q54" s="600"/>
      <c r="R54" s="599">
        <v>28312.5</v>
      </c>
      <c r="S54" s="599">
        <v>56625</v>
      </c>
      <c r="T54" s="599">
        <v>600</v>
      </c>
      <c r="U54" s="599"/>
      <c r="V54" s="599"/>
      <c r="W54" s="599"/>
      <c r="X54" s="599"/>
      <c r="Y54" s="599"/>
      <c r="Z54" s="599"/>
      <c r="AA54" s="811"/>
    </row>
    <row r="55" spans="1:27" ht="20.25" customHeight="1">
      <c r="A55" s="596" t="s">
        <v>48</v>
      </c>
      <c r="B55" s="609">
        <v>2</v>
      </c>
      <c r="C55" s="597">
        <v>20000</v>
      </c>
      <c r="D55" s="598" t="s">
        <v>805</v>
      </c>
      <c r="E55" s="600"/>
      <c r="F55" s="600"/>
      <c r="G55" s="600"/>
      <c r="H55" s="600"/>
      <c r="I55" s="600"/>
      <c r="J55" s="600"/>
      <c r="K55" s="601">
        <v>40000</v>
      </c>
      <c r="L55" s="599">
        <v>750</v>
      </c>
      <c r="M55" s="599">
        <v>500</v>
      </c>
      <c r="N55" s="600"/>
      <c r="O55" s="600"/>
      <c r="P55" s="600"/>
      <c r="Q55" s="600"/>
      <c r="R55" s="599">
        <v>20375</v>
      </c>
      <c r="S55" s="599">
        <v>40750</v>
      </c>
      <c r="T55" s="599">
        <v>400</v>
      </c>
      <c r="U55" s="599"/>
      <c r="V55" s="599"/>
      <c r="W55" s="599"/>
      <c r="X55" s="599"/>
      <c r="Y55" s="599"/>
      <c r="Z55" s="599"/>
      <c r="AA55" s="811"/>
    </row>
    <row r="56" spans="1:27" ht="20.25" customHeight="1">
      <c r="A56" s="596" t="s">
        <v>48</v>
      </c>
      <c r="B56" s="609">
        <v>1</v>
      </c>
      <c r="C56" s="597">
        <v>15000</v>
      </c>
      <c r="D56" s="598" t="s">
        <v>805</v>
      </c>
      <c r="E56" s="600"/>
      <c r="F56" s="600"/>
      <c r="G56" s="600"/>
      <c r="H56" s="600"/>
      <c r="I56" s="600"/>
      <c r="J56" s="600"/>
      <c r="K56" s="599">
        <v>15000</v>
      </c>
      <c r="L56" s="599">
        <v>375</v>
      </c>
      <c r="M56" s="599">
        <v>250</v>
      </c>
      <c r="N56" s="600"/>
      <c r="O56" s="600"/>
      <c r="P56" s="600"/>
      <c r="Q56" s="600"/>
      <c r="R56" s="599">
        <v>7687.5</v>
      </c>
      <c r="S56" s="599">
        <v>15375</v>
      </c>
      <c r="T56" s="599">
        <v>200</v>
      </c>
      <c r="U56" s="599"/>
      <c r="V56" s="599"/>
      <c r="W56" s="599"/>
      <c r="X56" s="599"/>
      <c r="Y56" s="599"/>
      <c r="Z56" s="599"/>
      <c r="AA56" s="811"/>
    </row>
    <row r="57" spans="1:27" ht="20.25" customHeight="1">
      <c r="A57" s="596" t="s">
        <v>61</v>
      </c>
      <c r="B57" s="609">
        <v>2</v>
      </c>
      <c r="C57" s="597">
        <v>13000</v>
      </c>
      <c r="D57" s="598" t="s">
        <v>805</v>
      </c>
      <c r="E57" s="600"/>
      <c r="F57" s="600"/>
      <c r="G57" s="600"/>
      <c r="H57" s="600"/>
      <c r="I57" s="600"/>
      <c r="J57" s="600"/>
      <c r="K57" s="599">
        <v>26000</v>
      </c>
      <c r="L57" s="599"/>
      <c r="M57" s="599">
        <v>500</v>
      </c>
      <c r="N57" s="600"/>
      <c r="O57" s="600"/>
      <c r="P57" s="600"/>
      <c r="Q57" s="600"/>
      <c r="R57" s="599">
        <v>13000</v>
      </c>
      <c r="S57" s="599">
        <v>26000</v>
      </c>
      <c r="T57" s="599">
        <v>400</v>
      </c>
      <c r="U57" s="599"/>
      <c r="V57" s="599"/>
      <c r="W57" s="599"/>
      <c r="X57" s="599"/>
      <c r="Y57" s="599"/>
      <c r="Z57" s="599"/>
      <c r="AA57" s="811"/>
    </row>
    <row r="58" spans="1:27" ht="20.25" customHeight="1">
      <c r="A58" s="596" t="s">
        <v>61</v>
      </c>
      <c r="B58" s="609">
        <v>1</v>
      </c>
      <c r="C58" s="597">
        <v>13000</v>
      </c>
      <c r="D58" s="598" t="s">
        <v>805</v>
      </c>
      <c r="E58" s="600"/>
      <c r="F58" s="600"/>
      <c r="G58" s="600"/>
      <c r="H58" s="600"/>
      <c r="I58" s="600"/>
      <c r="J58" s="600"/>
      <c r="K58" s="599">
        <v>13000</v>
      </c>
      <c r="L58" s="599">
        <v>375</v>
      </c>
      <c r="M58" s="599">
        <v>250</v>
      </c>
      <c r="N58" s="600"/>
      <c r="O58" s="600"/>
      <c r="P58" s="600"/>
      <c r="Q58" s="600"/>
      <c r="R58" s="599">
        <v>6687.5</v>
      </c>
      <c r="S58" s="599">
        <v>13375</v>
      </c>
      <c r="T58" s="599">
        <v>200</v>
      </c>
      <c r="U58" s="599"/>
      <c r="V58" s="599"/>
      <c r="W58" s="599"/>
      <c r="X58" s="599"/>
      <c r="Y58" s="599"/>
      <c r="Z58" s="599"/>
      <c r="AA58" s="811"/>
    </row>
    <row r="59" spans="1:27" ht="20.25" customHeight="1">
      <c r="A59" s="596" t="s">
        <v>62</v>
      </c>
      <c r="B59" s="609">
        <v>1</v>
      </c>
      <c r="C59" s="597">
        <v>11000</v>
      </c>
      <c r="D59" s="598" t="s">
        <v>805</v>
      </c>
      <c r="E59" s="600"/>
      <c r="F59" s="600"/>
      <c r="G59" s="600"/>
      <c r="H59" s="600"/>
      <c r="I59" s="600"/>
      <c r="J59" s="600"/>
      <c r="K59" s="601">
        <v>11000</v>
      </c>
      <c r="L59" s="601">
        <v>375</v>
      </c>
      <c r="M59" s="601">
        <v>250</v>
      </c>
      <c r="N59" s="600"/>
      <c r="O59" s="600"/>
      <c r="P59" s="600"/>
      <c r="Q59" s="600"/>
      <c r="R59" s="599">
        <v>5687.5</v>
      </c>
      <c r="S59" s="599">
        <v>11375</v>
      </c>
      <c r="T59" s="599">
        <v>200</v>
      </c>
      <c r="U59" s="599"/>
      <c r="V59" s="599"/>
      <c r="W59" s="599"/>
      <c r="X59" s="599"/>
      <c r="Y59" s="599"/>
      <c r="Z59" s="599"/>
      <c r="AA59" s="811"/>
    </row>
    <row r="60" spans="1:27" ht="20.25" customHeight="1">
      <c r="A60" s="596" t="s">
        <v>61</v>
      </c>
      <c r="B60" s="609">
        <v>2</v>
      </c>
      <c r="C60" s="597">
        <v>16000</v>
      </c>
      <c r="D60" s="598" t="s">
        <v>805</v>
      </c>
      <c r="E60" s="600"/>
      <c r="F60" s="600"/>
      <c r="G60" s="600"/>
      <c r="H60" s="600"/>
      <c r="I60" s="600"/>
      <c r="J60" s="600"/>
      <c r="K60" s="601">
        <v>32000</v>
      </c>
      <c r="L60" s="601"/>
      <c r="M60" s="601">
        <v>500</v>
      </c>
      <c r="N60" s="600"/>
      <c r="O60" s="600"/>
      <c r="P60" s="600"/>
      <c r="Q60" s="600"/>
      <c r="R60" s="599">
        <v>16000</v>
      </c>
      <c r="S60" s="599">
        <v>32000</v>
      </c>
      <c r="T60" s="599">
        <v>400</v>
      </c>
      <c r="U60" s="599"/>
      <c r="V60" s="599"/>
      <c r="W60" s="599"/>
      <c r="X60" s="599"/>
      <c r="Y60" s="599"/>
      <c r="Z60" s="599"/>
      <c r="AA60" s="811"/>
    </row>
    <row r="61" spans="1:27" ht="20.25" customHeight="1">
      <c r="A61" s="596" t="s">
        <v>48</v>
      </c>
      <c r="B61" s="609">
        <v>2</v>
      </c>
      <c r="C61" s="597">
        <v>16000</v>
      </c>
      <c r="D61" s="598" t="s">
        <v>805</v>
      </c>
      <c r="E61" s="600"/>
      <c r="F61" s="600"/>
      <c r="G61" s="600"/>
      <c r="H61" s="600"/>
      <c r="I61" s="600"/>
      <c r="J61" s="600"/>
      <c r="K61" s="601">
        <v>32000</v>
      </c>
      <c r="L61" s="601">
        <v>750</v>
      </c>
      <c r="M61" s="601">
        <v>500</v>
      </c>
      <c r="N61" s="600"/>
      <c r="O61" s="600"/>
      <c r="P61" s="600"/>
      <c r="Q61" s="600"/>
      <c r="R61" s="599">
        <v>16375</v>
      </c>
      <c r="S61" s="599">
        <v>32750</v>
      </c>
      <c r="T61" s="599">
        <v>400</v>
      </c>
      <c r="U61" s="599"/>
      <c r="V61" s="599"/>
      <c r="W61" s="599"/>
      <c r="X61" s="599"/>
      <c r="Y61" s="599"/>
      <c r="Z61" s="599"/>
      <c r="AA61" s="811"/>
    </row>
    <row r="62" spans="1:27" ht="20.25" customHeight="1">
      <c r="A62" s="596" t="s">
        <v>62</v>
      </c>
      <c r="B62" s="609">
        <v>1</v>
      </c>
      <c r="C62" s="597">
        <v>7000</v>
      </c>
      <c r="D62" s="598" t="s">
        <v>805</v>
      </c>
      <c r="E62" s="600"/>
      <c r="F62" s="600"/>
      <c r="G62" s="600"/>
      <c r="H62" s="600"/>
      <c r="I62" s="600"/>
      <c r="J62" s="600"/>
      <c r="K62" s="599">
        <v>7000</v>
      </c>
      <c r="L62" s="599"/>
      <c r="M62" s="599">
        <v>250</v>
      </c>
      <c r="N62" s="600"/>
      <c r="O62" s="600"/>
      <c r="P62" s="600"/>
      <c r="Q62" s="600"/>
      <c r="R62" s="599">
        <v>3500</v>
      </c>
      <c r="S62" s="599">
        <v>7000</v>
      </c>
      <c r="T62" s="599">
        <v>200</v>
      </c>
      <c r="U62" s="599"/>
      <c r="V62" s="599"/>
      <c r="W62" s="599"/>
      <c r="X62" s="599"/>
      <c r="Y62" s="599"/>
      <c r="Z62" s="599"/>
      <c r="AA62" s="811"/>
    </row>
    <row r="63" spans="1:27" ht="20.25" customHeight="1">
      <c r="A63" s="596" t="s">
        <v>62</v>
      </c>
      <c r="B63" s="609">
        <v>1</v>
      </c>
      <c r="C63" s="597">
        <v>6500</v>
      </c>
      <c r="D63" s="598" t="s">
        <v>805</v>
      </c>
      <c r="E63" s="600"/>
      <c r="F63" s="600"/>
      <c r="G63" s="600"/>
      <c r="H63" s="600"/>
      <c r="I63" s="600"/>
      <c r="J63" s="600"/>
      <c r="K63" s="599">
        <v>6500</v>
      </c>
      <c r="L63" s="599"/>
      <c r="M63" s="599">
        <v>250</v>
      </c>
      <c r="N63" s="600"/>
      <c r="O63" s="600"/>
      <c r="P63" s="600"/>
      <c r="Q63" s="600"/>
      <c r="R63" s="599">
        <v>3250</v>
      </c>
      <c r="S63" s="599">
        <v>6500</v>
      </c>
      <c r="T63" s="599">
        <v>200</v>
      </c>
      <c r="U63" s="599"/>
      <c r="V63" s="599"/>
      <c r="W63" s="599"/>
      <c r="X63" s="599"/>
      <c r="Y63" s="599"/>
      <c r="Z63" s="599"/>
      <c r="AA63" s="811"/>
    </row>
    <row r="64" spans="1:27" ht="20.25" customHeight="1">
      <c r="A64" s="596" t="s">
        <v>48</v>
      </c>
      <c r="B64" s="609">
        <v>1</v>
      </c>
      <c r="C64" s="597">
        <v>12500</v>
      </c>
      <c r="D64" s="598" t="s">
        <v>805</v>
      </c>
      <c r="E64" s="600"/>
      <c r="F64" s="600"/>
      <c r="G64" s="600"/>
      <c r="H64" s="600"/>
      <c r="I64" s="600"/>
      <c r="J64" s="600"/>
      <c r="K64" s="599">
        <v>12500</v>
      </c>
      <c r="L64" s="599">
        <v>375</v>
      </c>
      <c r="M64" s="599">
        <v>250</v>
      </c>
      <c r="N64" s="600"/>
      <c r="O64" s="600"/>
      <c r="P64" s="600"/>
      <c r="Q64" s="600"/>
      <c r="R64" s="599">
        <v>6437.5</v>
      </c>
      <c r="S64" s="599">
        <v>12875</v>
      </c>
      <c r="T64" s="599">
        <v>200</v>
      </c>
      <c r="U64" s="599"/>
      <c r="V64" s="599"/>
      <c r="W64" s="599"/>
      <c r="X64" s="599"/>
      <c r="Y64" s="599"/>
      <c r="Z64" s="599"/>
      <c r="AA64" s="811"/>
    </row>
    <row r="65" spans="1:27" ht="20.25" customHeight="1">
      <c r="A65" s="596" t="s">
        <v>114</v>
      </c>
      <c r="B65" s="609">
        <v>1</v>
      </c>
      <c r="C65" s="597">
        <v>12000</v>
      </c>
      <c r="D65" s="598" t="s">
        <v>805</v>
      </c>
      <c r="E65" s="600"/>
      <c r="F65" s="600"/>
      <c r="G65" s="600"/>
      <c r="H65" s="600"/>
      <c r="I65" s="600"/>
      <c r="J65" s="600"/>
      <c r="K65" s="599">
        <v>12000</v>
      </c>
      <c r="L65" s="599"/>
      <c r="M65" s="599">
        <v>250</v>
      </c>
      <c r="N65" s="600"/>
      <c r="O65" s="600"/>
      <c r="P65" s="600"/>
      <c r="Q65" s="600"/>
      <c r="R65" s="599">
        <v>6000</v>
      </c>
      <c r="S65" s="599">
        <v>12000</v>
      </c>
      <c r="T65" s="599">
        <v>200</v>
      </c>
      <c r="U65" s="599"/>
      <c r="V65" s="599"/>
      <c r="W65" s="599"/>
      <c r="X65" s="599"/>
      <c r="Y65" s="599"/>
      <c r="Z65" s="599"/>
      <c r="AA65" s="811"/>
    </row>
    <row r="66" spans="1:27" ht="20.25" customHeight="1">
      <c r="A66" s="596" t="s">
        <v>569</v>
      </c>
      <c r="B66" s="609">
        <v>2</v>
      </c>
      <c r="C66" s="597">
        <v>6000</v>
      </c>
      <c r="D66" s="598" t="s">
        <v>805</v>
      </c>
      <c r="E66" s="600"/>
      <c r="F66" s="600"/>
      <c r="G66" s="600"/>
      <c r="H66" s="600"/>
      <c r="I66" s="600"/>
      <c r="J66" s="600"/>
      <c r="K66" s="599">
        <v>12000</v>
      </c>
      <c r="L66" s="599"/>
      <c r="M66" s="599">
        <v>500</v>
      </c>
      <c r="N66" s="600"/>
      <c r="O66" s="600"/>
      <c r="P66" s="600"/>
      <c r="Q66" s="600"/>
      <c r="R66" s="599">
        <v>6000</v>
      </c>
      <c r="S66" s="599">
        <v>12000</v>
      </c>
      <c r="T66" s="599">
        <v>400</v>
      </c>
      <c r="U66" s="599"/>
      <c r="V66" s="599"/>
      <c r="W66" s="599"/>
      <c r="X66" s="599"/>
      <c r="Y66" s="599"/>
      <c r="Z66" s="599"/>
      <c r="AA66" s="811"/>
    </row>
    <row r="67" spans="1:27" ht="20.25" customHeight="1">
      <c r="A67" s="596" t="s">
        <v>59</v>
      </c>
      <c r="B67" s="609">
        <v>5</v>
      </c>
      <c r="C67" s="597">
        <v>13250</v>
      </c>
      <c r="D67" s="598" t="s">
        <v>807</v>
      </c>
      <c r="E67" s="600"/>
      <c r="F67" s="600"/>
      <c r="G67" s="600"/>
      <c r="H67" s="600"/>
      <c r="I67" s="600"/>
      <c r="J67" s="600"/>
      <c r="K67" s="599">
        <v>66250</v>
      </c>
      <c r="L67" s="599">
        <v>1875</v>
      </c>
      <c r="M67" s="599">
        <v>1250</v>
      </c>
      <c r="N67" s="600"/>
      <c r="O67" s="600"/>
      <c r="P67" s="600"/>
      <c r="Q67" s="600"/>
      <c r="R67" s="599">
        <v>34062.5</v>
      </c>
      <c r="S67" s="599">
        <v>68125</v>
      </c>
      <c r="T67" s="599">
        <v>1000</v>
      </c>
      <c r="U67" s="599"/>
      <c r="V67" s="599"/>
      <c r="W67" s="599"/>
      <c r="X67" s="599"/>
      <c r="Y67" s="599"/>
      <c r="Z67" s="599"/>
      <c r="AA67" s="811"/>
    </row>
    <row r="68" spans="1:27" ht="20.25" customHeight="1">
      <c r="A68" s="596" t="s">
        <v>59</v>
      </c>
      <c r="B68" s="609">
        <v>1</v>
      </c>
      <c r="C68" s="602">
        <v>13550</v>
      </c>
      <c r="D68" s="598" t="s">
        <v>807</v>
      </c>
      <c r="E68" s="600"/>
      <c r="F68" s="600"/>
      <c r="G68" s="600"/>
      <c r="H68" s="600"/>
      <c r="I68" s="600"/>
      <c r="J68" s="600"/>
      <c r="K68" s="601">
        <v>13550</v>
      </c>
      <c r="L68" s="601">
        <v>375</v>
      </c>
      <c r="M68" s="601">
        <v>250</v>
      </c>
      <c r="N68" s="600"/>
      <c r="O68" s="600"/>
      <c r="P68" s="600"/>
      <c r="Q68" s="600"/>
      <c r="R68" s="599">
        <v>6962.5</v>
      </c>
      <c r="S68" s="599">
        <v>13925</v>
      </c>
      <c r="T68" s="599">
        <v>200</v>
      </c>
      <c r="U68" s="599"/>
      <c r="V68" s="599"/>
      <c r="W68" s="599"/>
      <c r="X68" s="599"/>
      <c r="Y68" s="599"/>
      <c r="Z68" s="599"/>
      <c r="AA68" s="811"/>
    </row>
    <row r="69" spans="1:27" ht="20.25" customHeight="1">
      <c r="A69" s="596" t="s">
        <v>172</v>
      </c>
      <c r="B69" s="609">
        <v>15</v>
      </c>
      <c r="C69" s="602">
        <v>71.400000000000006</v>
      </c>
      <c r="D69" s="598" t="s">
        <v>806</v>
      </c>
      <c r="E69" s="600"/>
      <c r="F69" s="600"/>
      <c r="G69" s="600"/>
      <c r="H69" s="600"/>
      <c r="I69" s="600"/>
      <c r="J69" s="600"/>
      <c r="K69" s="601"/>
      <c r="L69" s="601"/>
      <c r="M69" s="601"/>
      <c r="N69" s="600">
        <v>390915.00000000006</v>
      </c>
      <c r="O69" s="600">
        <v>45000</v>
      </c>
      <c r="P69" s="600"/>
      <c r="Q69" s="600"/>
      <c r="R69" s="599">
        <v>20038.5</v>
      </c>
      <c r="S69" s="599">
        <v>40077</v>
      </c>
      <c r="T69" s="599">
        <v>3000</v>
      </c>
      <c r="U69" s="599"/>
      <c r="V69" s="599"/>
      <c r="W69" s="599"/>
      <c r="X69" s="599"/>
      <c r="Y69" s="599"/>
      <c r="Z69" s="599"/>
      <c r="AA69" s="811"/>
    </row>
    <row r="70" spans="1:27" ht="20.25" customHeight="1">
      <c r="A70" s="596" t="s">
        <v>840</v>
      </c>
      <c r="B70" s="609">
        <v>3</v>
      </c>
      <c r="C70" s="602">
        <v>71.400000000000006</v>
      </c>
      <c r="D70" s="598" t="s">
        <v>806</v>
      </c>
      <c r="E70" s="600"/>
      <c r="F70" s="600"/>
      <c r="G70" s="600"/>
      <c r="H70" s="600"/>
      <c r="I70" s="600"/>
      <c r="J70" s="600"/>
      <c r="K70" s="601"/>
      <c r="L70" s="601"/>
      <c r="M70" s="601"/>
      <c r="N70" s="600">
        <v>78183.000000000015</v>
      </c>
      <c r="O70" s="600">
        <v>9000</v>
      </c>
      <c r="P70" s="600"/>
      <c r="Q70" s="600"/>
      <c r="R70" s="599">
        <v>4008</v>
      </c>
      <c r="S70" s="599">
        <v>8016</v>
      </c>
      <c r="T70" s="599">
        <v>600</v>
      </c>
      <c r="U70" s="599"/>
      <c r="V70" s="599"/>
      <c r="W70" s="599"/>
      <c r="X70" s="599"/>
      <c r="Y70" s="599"/>
      <c r="Z70" s="599"/>
      <c r="AA70" s="811"/>
    </row>
    <row r="71" spans="1:27" ht="20.25" customHeight="1">
      <c r="A71" s="596" t="s">
        <v>841</v>
      </c>
      <c r="B71" s="609">
        <v>3</v>
      </c>
      <c r="C71" s="602">
        <v>72.540000000000006</v>
      </c>
      <c r="D71" s="598" t="s">
        <v>806</v>
      </c>
      <c r="E71" s="600"/>
      <c r="F71" s="600"/>
      <c r="G71" s="600"/>
      <c r="H71" s="600"/>
      <c r="I71" s="600"/>
      <c r="J71" s="600"/>
      <c r="K71" s="601"/>
      <c r="L71" s="601"/>
      <c r="M71" s="601"/>
      <c r="N71" s="600">
        <v>79432</v>
      </c>
      <c r="O71" s="600">
        <v>9000</v>
      </c>
      <c r="P71" s="600"/>
      <c r="Q71" s="600"/>
      <c r="R71" s="599">
        <v>4060</v>
      </c>
      <c r="S71" s="599">
        <v>8120</v>
      </c>
      <c r="T71" s="599">
        <v>600</v>
      </c>
      <c r="U71" s="599"/>
      <c r="V71" s="599"/>
      <c r="W71" s="599"/>
      <c r="X71" s="599"/>
      <c r="Y71" s="599"/>
      <c r="Z71" s="599"/>
      <c r="AA71" s="811"/>
    </row>
    <row r="72" spans="1:27" ht="20.25" customHeight="1">
      <c r="A72" s="596" t="s">
        <v>842</v>
      </c>
      <c r="B72" s="609">
        <v>1</v>
      </c>
      <c r="C72" s="602">
        <v>72.540000000000006</v>
      </c>
      <c r="D72" s="598" t="s">
        <v>806</v>
      </c>
      <c r="E72" s="600"/>
      <c r="F72" s="600"/>
      <c r="G72" s="600"/>
      <c r="H72" s="600"/>
      <c r="I72" s="600"/>
      <c r="J72" s="600"/>
      <c r="K72" s="601"/>
      <c r="L72" s="601"/>
      <c r="M72" s="601"/>
      <c r="N72" s="600">
        <v>26478.000000000004</v>
      </c>
      <c r="O72" s="600">
        <v>3000</v>
      </c>
      <c r="P72" s="600"/>
      <c r="Q72" s="600"/>
      <c r="R72" s="599">
        <v>1353.5</v>
      </c>
      <c r="S72" s="599">
        <v>2707</v>
      </c>
      <c r="T72" s="599">
        <v>200</v>
      </c>
      <c r="U72" s="599"/>
      <c r="V72" s="599"/>
      <c r="W72" s="599"/>
      <c r="X72" s="599"/>
      <c r="Y72" s="599"/>
      <c r="Z72" s="599"/>
      <c r="AA72" s="811"/>
    </row>
    <row r="73" spans="1:27" ht="20.25" customHeight="1">
      <c r="A73" s="596" t="s">
        <v>843</v>
      </c>
      <c r="B73" s="609">
        <v>4</v>
      </c>
      <c r="C73" s="602">
        <v>72.540000000000006</v>
      </c>
      <c r="D73" s="598" t="s">
        <v>806</v>
      </c>
      <c r="E73" s="600"/>
      <c r="F73" s="600"/>
      <c r="G73" s="600"/>
      <c r="H73" s="600"/>
      <c r="I73" s="600"/>
      <c r="J73" s="600"/>
      <c r="K73" s="601"/>
      <c r="L73" s="601"/>
      <c r="M73" s="601"/>
      <c r="N73" s="600">
        <v>105909.00000000001</v>
      </c>
      <c r="O73" s="600">
        <v>12000</v>
      </c>
      <c r="P73" s="600"/>
      <c r="Q73" s="600"/>
      <c r="R73" s="599">
        <v>5413</v>
      </c>
      <c r="S73" s="599">
        <v>10826</v>
      </c>
      <c r="T73" s="599">
        <v>800</v>
      </c>
      <c r="U73" s="599"/>
      <c r="V73" s="599"/>
      <c r="W73" s="599"/>
      <c r="X73" s="599"/>
      <c r="Y73" s="599"/>
      <c r="Z73" s="599"/>
      <c r="AA73" s="811"/>
    </row>
    <row r="74" spans="1:27" ht="20.25" customHeight="1">
      <c r="A74" s="596" t="s">
        <v>642</v>
      </c>
      <c r="B74" s="609">
        <v>1</v>
      </c>
      <c r="C74" s="602">
        <v>72.540000000000006</v>
      </c>
      <c r="D74" s="598" t="s">
        <v>806</v>
      </c>
      <c r="E74" s="600"/>
      <c r="F74" s="600"/>
      <c r="G74" s="600"/>
      <c r="H74" s="600"/>
      <c r="I74" s="600"/>
      <c r="J74" s="600"/>
      <c r="K74" s="601"/>
      <c r="L74" s="601"/>
      <c r="M74" s="601"/>
      <c r="N74" s="600">
        <v>26478.000000000004</v>
      </c>
      <c r="O74" s="600">
        <v>3000</v>
      </c>
      <c r="P74" s="600"/>
      <c r="Q74" s="600"/>
      <c r="R74" s="599">
        <v>1353.5</v>
      </c>
      <c r="S74" s="599">
        <v>2707</v>
      </c>
      <c r="T74" s="599">
        <v>200</v>
      </c>
      <c r="U74" s="599"/>
      <c r="V74" s="599"/>
      <c r="W74" s="599"/>
      <c r="X74" s="599"/>
      <c r="Y74" s="599"/>
      <c r="Z74" s="599"/>
      <c r="AA74" s="811"/>
    </row>
    <row r="75" spans="1:27" ht="24" customHeight="1">
      <c r="A75" s="596" t="s">
        <v>844</v>
      </c>
      <c r="B75" s="609">
        <v>2</v>
      </c>
      <c r="C75" s="602">
        <v>73.59</v>
      </c>
      <c r="D75" s="598" t="s">
        <v>806</v>
      </c>
      <c r="E75" s="600"/>
      <c r="F75" s="600"/>
      <c r="G75" s="600"/>
      <c r="H75" s="600"/>
      <c r="I75" s="600"/>
      <c r="J75" s="600"/>
      <c r="K75" s="601"/>
      <c r="L75" s="601"/>
      <c r="M75" s="601"/>
      <c r="N75" s="600">
        <v>53721.000000000007</v>
      </c>
      <c r="O75" s="600">
        <v>6000</v>
      </c>
      <c r="P75" s="600"/>
      <c r="Q75" s="600"/>
      <c r="R75" s="599">
        <v>2738.5</v>
      </c>
      <c r="S75" s="599">
        <v>5477</v>
      </c>
      <c r="T75" s="599">
        <v>400</v>
      </c>
      <c r="U75" s="599"/>
      <c r="V75" s="599"/>
      <c r="W75" s="599"/>
      <c r="X75" s="599"/>
      <c r="Y75" s="599"/>
      <c r="Z75" s="599"/>
      <c r="AA75" s="811"/>
    </row>
    <row r="76" spans="1:27" ht="24" customHeight="1">
      <c r="A76" s="596" t="s">
        <v>845</v>
      </c>
      <c r="B76" s="609">
        <v>1</v>
      </c>
      <c r="C76" s="602">
        <v>73.59</v>
      </c>
      <c r="D76" s="598" t="s">
        <v>806</v>
      </c>
      <c r="E76" s="600"/>
      <c r="F76" s="600"/>
      <c r="G76" s="600"/>
      <c r="H76" s="600"/>
      <c r="I76" s="600"/>
      <c r="J76" s="600"/>
      <c r="K76" s="601"/>
      <c r="L76" s="601"/>
      <c r="M76" s="601"/>
      <c r="N76" s="600">
        <v>26861.000000000004</v>
      </c>
      <c r="O76" s="600">
        <v>3000</v>
      </c>
      <c r="P76" s="600"/>
      <c r="Q76" s="600"/>
      <c r="R76" s="599">
        <v>1369.5</v>
      </c>
      <c r="S76" s="599">
        <v>2739</v>
      </c>
      <c r="T76" s="599">
        <v>200</v>
      </c>
      <c r="U76" s="599"/>
      <c r="V76" s="599"/>
      <c r="W76" s="599"/>
      <c r="X76" s="599"/>
      <c r="Y76" s="599"/>
      <c r="Z76" s="599"/>
      <c r="AA76" s="811"/>
    </row>
    <row r="77" spans="1:27" ht="51" customHeight="1">
      <c r="A77" s="604" t="s">
        <v>846</v>
      </c>
      <c r="B77" s="609">
        <v>2</v>
      </c>
      <c r="C77" s="812">
        <v>3500</v>
      </c>
      <c r="D77" s="598" t="s">
        <v>805</v>
      </c>
      <c r="E77" s="600"/>
      <c r="F77" s="600"/>
      <c r="G77" s="600"/>
      <c r="H77" s="600"/>
      <c r="I77" s="600"/>
      <c r="J77" s="600"/>
      <c r="K77" s="600"/>
      <c r="L77" s="600"/>
      <c r="M77" s="600"/>
      <c r="N77" s="605"/>
      <c r="O77" s="605"/>
      <c r="P77" s="812">
        <f>+C77*B77</f>
        <v>7000</v>
      </c>
      <c r="Q77" s="600"/>
      <c r="R77" s="599"/>
      <c r="S77" s="599"/>
      <c r="T77" s="600"/>
      <c r="U77" s="600"/>
      <c r="V77" s="600"/>
      <c r="W77" s="600"/>
      <c r="X77" s="600"/>
      <c r="Y77" s="600"/>
      <c r="Z77" s="600"/>
      <c r="AA77" s="811"/>
    </row>
    <row r="78" spans="1:27" ht="51" customHeight="1">
      <c r="A78" s="604" t="s">
        <v>847</v>
      </c>
      <c r="B78" s="609">
        <v>1</v>
      </c>
      <c r="C78" s="812">
        <v>3500</v>
      </c>
      <c r="D78" s="598" t="s">
        <v>805</v>
      </c>
      <c r="E78" s="600"/>
      <c r="F78" s="600"/>
      <c r="G78" s="600"/>
      <c r="H78" s="600"/>
      <c r="I78" s="600"/>
      <c r="J78" s="600"/>
      <c r="K78" s="600"/>
      <c r="L78" s="600"/>
      <c r="M78" s="600"/>
      <c r="N78" s="605"/>
      <c r="O78" s="605"/>
      <c r="P78" s="812">
        <f>+C78*B78</f>
        <v>3500</v>
      </c>
      <c r="Q78" s="600"/>
      <c r="R78" s="599"/>
      <c r="S78" s="599"/>
      <c r="T78" s="600"/>
      <c r="U78" s="600"/>
      <c r="V78" s="600"/>
      <c r="W78" s="600"/>
      <c r="X78" s="600"/>
      <c r="Y78" s="600"/>
      <c r="Z78" s="600"/>
      <c r="AA78" s="811"/>
    </row>
    <row r="79" spans="1:27" ht="51" customHeight="1">
      <c r="A79" s="604" t="s">
        <v>847</v>
      </c>
      <c r="B79" s="609">
        <v>1</v>
      </c>
      <c r="C79" s="812">
        <v>6500</v>
      </c>
      <c r="D79" s="598" t="s">
        <v>805</v>
      </c>
      <c r="E79" s="600"/>
      <c r="F79" s="600"/>
      <c r="G79" s="600"/>
      <c r="H79" s="600"/>
      <c r="I79" s="600"/>
      <c r="J79" s="600"/>
      <c r="K79" s="600"/>
      <c r="L79" s="600"/>
      <c r="M79" s="600"/>
      <c r="N79" s="605"/>
      <c r="O79" s="605"/>
      <c r="P79" s="812">
        <f t="shared" ref="P79:P142" si="0">+C79*B79</f>
        <v>6500</v>
      </c>
      <c r="Q79" s="600"/>
      <c r="R79" s="599"/>
      <c r="S79" s="599"/>
      <c r="T79" s="600"/>
      <c r="U79" s="600"/>
      <c r="V79" s="600"/>
      <c r="W79" s="600"/>
      <c r="X79" s="600"/>
      <c r="Y79" s="600"/>
      <c r="Z79" s="600"/>
      <c r="AA79" s="811"/>
    </row>
    <row r="80" spans="1:27" ht="51" customHeight="1">
      <c r="A80" s="604" t="s">
        <v>847</v>
      </c>
      <c r="B80" s="609">
        <v>2</v>
      </c>
      <c r="C80" s="812">
        <v>6000</v>
      </c>
      <c r="D80" s="598" t="s">
        <v>805</v>
      </c>
      <c r="E80" s="600"/>
      <c r="F80" s="600"/>
      <c r="G80" s="600"/>
      <c r="H80" s="600"/>
      <c r="I80" s="600"/>
      <c r="J80" s="600"/>
      <c r="K80" s="600"/>
      <c r="L80" s="600"/>
      <c r="M80" s="600"/>
      <c r="N80" s="605"/>
      <c r="O80" s="605"/>
      <c r="P80" s="812">
        <f t="shared" si="0"/>
        <v>12000</v>
      </c>
      <c r="Q80" s="600"/>
      <c r="R80" s="599"/>
      <c r="S80" s="599"/>
      <c r="T80" s="600"/>
      <c r="U80" s="600"/>
      <c r="V80" s="600"/>
      <c r="W80" s="600"/>
      <c r="X80" s="600"/>
      <c r="Y80" s="600"/>
      <c r="Z80" s="600"/>
      <c r="AA80" s="811"/>
    </row>
    <row r="81" spans="1:27" ht="51" customHeight="1">
      <c r="A81" s="604" t="s">
        <v>846</v>
      </c>
      <c r="B81" s="609">
        <v>1</v>
      </c>
      <c r="C81" s="812">
        <v>4250</v>
      </c>
      <c r="D81" s="598" t="s">
        <v>805</v>
      </c>
      <c r="E81" s="600"/>
      <c r="F81" s="600"/>
      <c r="G81" s="600"/>
      <c r="H81" s="600"/>
      <c r="I81" s="600"/>
      <c r="J81" s="600"/>
      <c r="K81" s="600"/>
      <c r="L81" s="600"/>
      <c r="M81" s="600"/>
      <c r="N81" s="605"/>
      <c r="O81" s="605"/>
      <c r="P81" s="812">
        <f t="shared" si="0"/>
        <v>4250</v>
      </c>
      <c r="Q81" s="600"/>
      <c r="R81" s="599"/>
      <c r="S81" s="599"/>
      <c r="T81" s="600"/>
      <c r="U81" s="600"/>
      <c r="V81" s="600"/>
      <c r="W81" s="600"/>
      <c r="X81" s="600"/>
      <c r="Y81" s="600"/>
      <c r="Z81" s="600"/>
      <c r="AA81" s="811"/>
    </row>
    <row r="82" spans="1:27" ht="51" customHeight="1">
      <c r="A82" s="604" t="s">
        <v>846</v>
      </c>
      <c r="B82" s="609">
        <v>2</v>
      </c>
      <c r="C82" s="812">
        <v>4500</v>
      </c>
      <c r="D82" s="598" t="s">
        <v>805</v>
      </c>
      <c r="E82" s="600"/>
      <c r="F82" s="600"/>
      <c r="G82" s="600"/>
      <c r="H82" s="600"/>
      <c r="I82" s="600"/>
      <c r="J82" s="600"/>
      <c r="K82" s="600"/>
      <c r="L82" s="600"/>
      <c r="M82" s="600"/>
      <c r="N82" s="605"/>
      <c r="O82" s="605"/>
      <c r="P82" s="812">
        <f t="shared" si="0"/>
        <v>9000</v>
      </c>
      <c r="Q82" s="600"/>
      <c r="R82" s="599"/>
      <c r="S82" s="599"/>
      <c r="T82" s="600"/>
      <c r="U82" s="600"/>
      <c r="V82" s="600"/>
      <c r="W82" s="600"/>
      <c r="X82" s="600"/>
      <c r="Y82" s="600"/>
      <c r="Z82" s="600"/>
      <c r="AA82" s="811"/>
    </row>
    <row r="83" spans="1:27" ht="51" customHeight="1">
      <c r="A83" s="604" t="s">
        <v>847</v>
      </c>
      <c r="B83" s="609">
        <v>1</v>
      </c>
      <c r="C83" s="812">
        <v>8000</v>
      </c>
      <c r="D83" s="598" t="s">
        <v>805</v>
      </c>
      <c r="E83" s="600"/>
      <c r="F83" s="600"/>
      <c r="G83" s="600"/>
      <c r="H83" s="600"/>
      <c r="I83" s="600"/>
      <c r="J83" s="600"/>
      <c r="K83" s="600"/>
      <c r="L83" s="600"/>
      <c r="M83" s="600"/>
      <c r="N83" s="605"/>
      <c r="O83" s="605"/>
      <c r="P83" s="812">
        <f t="shared" si="0"/>
        <v>8000</v>
      </c>
      <c r="Q83" s="600"/>
      <c r="R83" s="599"/>
      <c r="S83" s="599"/>
      <c r="T83" s="600"/>
      <c r="U83" s="600"/>
      <c r="V83" s="600"/>
      <c r="W83" s="600"/>
      <c r="X83" s="600"/>
      <c r="Y83" s="600"/>
      <c r="Z83" s="600"/>
      <c r="AA83" s="811"/>
    </row>
    <row r="84" spans="1:27" ht="51" customHeight="1">
      <c r="A84" s="604" t="s">
        <v>847</v>
      </c>
      <c r="B84" s="609">
        <v>1</v>
      </c>
      <c r="C84" s="812">
        <v>9000</v>
      </c>
      <c r="D84" s="598" t="s">
        <v>805</v>
      </c>
      <c r="E84" s="600"/>
      <c r="F84" s="600"/>
      <c r="G84" s="600"/>
      <c r="H84" s="600"/>
      <c r="I84" s="600"/>
      <c r="J84" s="600"/>
      <c r="K84" s="600"/>
      <c r="L84" s="600"/>
      <c r="M84" s="600"/>
      <c r="N84" s="605"/>
      <c r="O84" s="605"/>
      <c r="P84" s="812">
        <f t="shared" si="0"/>
        <v>9000</v>
      </c>
      <c r="Q84" s="600"/>
      <c r="R84" s="599"/>
      <c r="S84" s="599"/>
      <c r="T84" s="600"/>
      <c r="U84" s="600"/>
      <c r="V84" s="600"/>
      <c r="W84" s="600"/>
      <c r="X84" s="600"/>
      <c r="Y84" s="600"/>
      <c r="Z84" s="600"/>
      <c r="AA84" s="811"/>
    </row>
    <row r="85" spans="1:27" ht="51" customHeight="1">
      <c r="A85" s="604" t="s">
        <v>847</v>
      </c>
      <c r="B85" s="609">
        <v>1</v>
      </c>
      <c r="C85" s="812">
        <v>7000</v>
      </c>
      <c r="D85" s="598" t="s">
        <v>805</v>
      </c>
      <c r="E85" s="600"/>
      <c r="F85" s="600"/>
      <c r="G85" s="600"/>
      <c r="H85" s="600"/>
      <c r="I85" s="600"/>
      <c r="J85" s="600"/>
      <c r="K85" s="600"/>
      <c r="L85" s="600"/>
      <c r="M85" s="600"/>
      <c r="N85" s="605"/>
      <c r="O85" s="605"/>
      <c r="P85" s="812">
        <f t="shared" si="0"/>
        <v>7000</v>
      </c>
      <c r="Q85" s="600"/>
      <c r="R85" s="599"/>
      <c r="S85" s="599"/>
      <c r="T85" s="600"/>
      <c r="U85" s="600"/>
      <c r="V85" s="600"/>
      <c r="W85" s="600"/>
      <c r="X85" s="600"/>
      <c r="Y85" s="600"/>
      <c r="Z85" s="600"/>
      <c r="AA85" s="811"/>
    </row>
    <row r="86" spans="1:27" ht="51" customHeight="1">
      <c r="A86" s="604" t="s">
        <v>846</v>
      </c>
      <c r="B86" s="609">
        <v>1</v>
      </c>
      <c r="C86" s="812">
        <v>4600</v>
      </c>
      <c r="D86" s="598" t="s">
        <v>805</v>
      </c>
      <c r="E86" s="600"/>
      <c r="F86" s="600"/>
      <c r="G86" s="600"/>
      <c r="H86" s="600"/>
      <c r="I86" s="600"/>
      <c r="J86" s="600"/>
      <c r="K86" s="600"/>
      <c r="L86" s="600"/>
      <c r="M86" s="600"/>
      <c r="N86" s="605"/>
      <c r="O86" s="605"/>
      <c r="P86" s="812">
        <f t="shared" si="0"/>
        <v>4600</v>
      </c>
      <c r="Q86" s="600"/>
      <c r="R86" s="599"/>
      <c r="S86" s="599"/>
      <c r="T86" s="600"/>
      <c r="U86" s="600"/>
      <c r="V86" s="600"/>
      <c r="W86" s="600"/>
      <c r="X86" s="600"/>
      <c r="Y86" s="600"/>
      <c r="Z86" s="600"/>
      <c r="AA86" s="811"/>
    </row>
    <row r="87" spans="1:27" ht="51" customHeight="1">
      <c r="A87" s="604" t="s">
        <v>848</v>
      </c>
      <c r="B87" s="609">
        <v>1</v>
      </c>
      <c r="C87" s="812">
        <v>5000</v>
      </c>
      <c r="D87" s="598" t="s">
        <v>805</v>
      </c>
      <c r="E87" s="600"/>
      <c r="F87" s="600"/>
      <c r="G87" s="600"/>
      <c r="H87" s="600"/>
      <c r="I87" s="600"/>
      <c r="J87" s="600"/>
      <c r="K87" s="600"/>
      <c r="L87" s="600"/>
      <c r="M87" s="600"/>
      <c r="N87" s="605"/>
      <c r="O87" s="605"/>
      <c r="P87" s="812">
        <f t="shared" si="0"/>
        <v>5000</v>
      </c>
      <c r="Q87" s="600"/>
      <c r="R87" s="599"/>
      <c r="S87" s="599"/>
      <c r="T87" s="600"/>
      <c r="U87" s="600"/>
      <c r="V87" s="600"/>
      <c r="W87" s="600"/>
      <c r="X87" s="600"/>
      <c r="Y87" s="600"/>
      <c r="Z87" s="600"/>
      <c r="AA87" s="811"/>
    </row>
    <row r="88" spans="1:27" ht="51" customHeight="1">
      <c r="A88" s="604" t="s">
        <v>849</v>
      </c>
      <c r="B88" s="609">
        <v>2</v>
      </c>
      <c r="C88" s="812">
        <v>6000</v>
      </c>
      <c r="D88" s="598" t="s">
        <v>805</v>
      </c>
      <c r="E88" s="600"/>
      <c r="F88" s="600"/>
      <c r="G88" s="600"/>
      <c r="H88" s="600"/>
      <c r="I88" s="600"/>
      <c r="J88" s="600"/>
      <c r="K88" s="600"/>
      <c r="L88" s="600"/>
      <c r="M88" s="600"/>
      <c r="N88" s="605"/>
      <c r="O88" s="605"/>
      <c r="P88" s="812">
        <f t="shared" si="0"/>
        <v>12000</v>
      </c>
      <c r="Q88" s="600"/>
      <c r="R88" s="599"/>
      <c r="S88" s="599"/>
      <c r="T88" s="600"/>
      <c r="U88" s="600"/>
      <c r="V88" s="600"/>
      <c r="W88" s="600"/>
      <c r="X88" s="600"/>
      <c r="Y88" s="600"/>
      <c r="Z88" s="600"/>
      <c r="AA88" s="811"/>
    </row>
    <row r="89" spans="1:27" ht="51" customHeight="1">
      <c r="A89" s="604" t="s">
        <v>850</v>
      </c>
      <c r="B89" s="609">
        <v>1</v>
      </c>
      <c r="C89" s="812">
        <v>6000</v>
      </c>
      <c r="D89" s="598" t="s">
        <v>805</v>
      </c>
      <c r="E89" s="600"/>
      <c r="F89" s="600"/>
      <c r="G89" s="600"/>
      <c r="H89" s="600"/>
      <c r="I89" s="600"/>
      <c r="J89" s="600"/>
      <c r="K89" s="600"/>
      <c r="L89" s="600"/>
      <c r="M89" s="600"/>
      <c r="N89" s="605"/>
      <c r="O89" s="605"/>
      <c r="P89" s="812">
        <f t="shared" si="0"/>
        <v>6000</v>
      </c>
      <c r="Q89" s="600"/>
      <c r="R89" s="599"/>
      <c r="S89" s="599"/>
      <c r="T89" s="600"/>
      <c r="U89" s="600"/>
      <c r="V89" s="600"/>
      <c r="W89" s="600"/>
      <c r="X89" s="600"/>
      <c r="Y89" s="600"/>
      <c r="Z89" s="600"/>
      <c r="AA89" s="811"/>
    </row>
    <row r="90" spans="1:27" ht="51" customHeight="1">
      <c r="A90" s="604" t="s">
        <v>851</v>
      </c>
      <c r="B90" s="609">
        <v>7</v>
      </c>
      <c r="C90" s="812">
        <v>7000</v>
      </c>
      <c r="D90" s="598" t="s">
        <v>805</v>
      </c>
      <c r="E90" s="600"/>
      <c r="F90" s="600"/>
      <c r="G90" s="600"/>
      <c r="H90" s="600"/>
      <c r="I90" s="600"/>
      <c r="J90" s="600"/>
      <c r="K90" s="600"/>
      <c r="L90" s="600"/>
      <c r="M90" s="600"/>
      <c r="N90" s="605"/>
      <c r="O90" s="605"/>
      <c r="P90" s="812">
        <f t="shared" si="0"/>
        <v>49000</v>
      </c>
      <c r="Q90" s="600"/>
      <c r="R90" s="599"/>
      <c r="S90" s="599"/>
      <c r="T90" s="600"/>
      <c r="U90" s="600"/>
      <c r="V90" s="600"/>
      <c r="W90" s="600"/>
      <c r="X90" s="600"/>
      <c r="Y90" s="600"/>
      <c r="Z90" s="600"/>
      <c r="AA90" s="811"/>
    </row>
    <row r="91" spans="1:27" ht="51" customHeight="1">
      <c r="A91" s="604" t="s">
        <v>852</v>
      </c>
      <c r="B91" s="609">
        <v>1</v>
      </c>
      <c r="C91" s="812">
        <v>7500</v>
      </c>
      <c r="D91" s="598" t="s">
        <v>805</v>
      </c>
      <c r="E91" s="600"/>
      <c r="F91" s="600"/>
      <c r="G91" s="600"/>
      <c r="H91" s="600"/>
      <c r="I91" s="600"/>
      <c r="J91" s="600"/>
      <c r="K91" s="600"/>
      <c r="L91" s="600"/>
      <c r="M91" s="600"/>
      <c r="N91" s="605"/>
      <c r="O91" s="605"/>
      <c r="P91" s="812">
        <f t="shared" si="0"/>
        <v>7500</v>
      </c>
      <c r="Q91" s="600"/>
      <c r="R91" s="599"/>
      <c r="S91" s="599"/>
      <c r="T91" s="600"/>
      <c r="U91" s="600"/>
      <c r="V91" s="600"/>
      <c r="W91" s="600"/>
      <c r="X91" s="600"/>
      <c r="Y91" s="600"/>
      <c r="Z91" s="600"/>
      <c r="AA91" s="811"/>
    </row>
    <row r="92" spans="1:27" ht="51" customHeight="1">
      <c r="A92" s="604" t="s">
        <v>853</v>
      </c>
      <c r="B92" s="609">
        <v>1</v>
      </c>
      <c r="C92" s="812">
        <v>8000</v>
      </c>
      <c r="D92" s="598" t="s">
        <v>805</v>
      </c>
      <c r="E92" s="600"/>
      <c r="F92" s="600"/>
      <c r="G92" s="600"/>
      <c r="H92" s="600"/>
      <c r="I92" s="600"/>
      <c r="J92" s="600"/>
      <c r="K92" s="600"/>
      <c r="L92" s="600"/>
      <c r="M92" s="600"/>
      <c r="N92" s="605"/>
      <c r="O92" s="605"/>
      <c r="P92" s="812">
        <f t="shared" si="0"/>
        <v>8000</v>
      </c>
      <c r="Q92" s="600"/>
      <c r="R92" s="599"/>
      <c r="S92" s="599"/>
      <c r="T92" s="600"/>
      <c r="U92" s="600"/>
      <c r="V92" s="600"/>
      <c r="W92" s="600"/>
      <c r="X92" s="600"/>
      <c r="Y92" s="600"/>
      <c r="Z92" s="600"/>
      <c r="AA92" s="811"/>
    </row>
    <row r="93" spans="1:27" ht="51" customHeight="1">
      <c r="A93" s="604" t="s">
        <v>847</v>
      </c>
      <c r="B93" s="609">
        <v>1</v>
      </c>
      <c r="C93" s="812">
        <v>8000</v>
      </c>
      <c r="D93" s="598" t="s">
        <v>805</v>
      </c>
      <c r="E93" s="600"/>
      <c r="F93" s="600"/>
      <c r="G93" s="600"/>
      <c r="H93" s="600"/>
      <c r="I93" s="600"/>
      <c r="J93" s="600"/>
      <c r="K93" s="600"/>
      <c r="L93" s="600"/>
      <c r="M93" s="600"/>
      <c r="N93" s="605"/>
      <c r="O93" s="605"/>
      <c r="P93" s="812">
        <f t="shared" si="0"/>
        <v>8000</v>
      </c>
      <c r="Q93" s="600"/>
      <c r="R93" s="599"/>
      <c r="S93" s="599"/>
      <c r="T93" s="600"/>
      <c r="U93" s="600"/>
      <c r="V93" s="600"/>
      <c r="W93" s="600"/>
      <c r="X93" s="600"/>
      <c r="Y93" s="600"/>
      <c r="Z93" s="600"/>
      <c r="AA93" s="811"/>
    </row>
    <row r="94" spans="1:27" ht="51" customHeight="1">
      <c r="A94" s="604" t="s">
        <v>855</v>
      </c>
      <c r="B94" s="609">
        <v>1</v>
      </c>
      <c r="C94" s="812">
        <v>9000</v>
      </c>
      <c r="D94" s="598" t="s">
        <v>805</v>
      </c>
      <c r="E94" s="600"/>
      <c r="F94" s="600"/>
      <c r="G94" s="600"/>
      <c r="H94" s="600"/>
      <c r="I94" s="600"/>
      <c r="J94" s="600"/>
      <c r="K94" s="600"/>
      <c r="L94" s="600"/>
      <c r="M94" s="600"/>
      <c r="N94" s="605"/>
      <c r="O94" s="605"/>
      <c r="P94" s="812">
        <f t="shared" si="0"/>
        <v>9000</v>
      </c>
      <c r="Q94" s="600"/>
      <c r="R94" s="599"/>
      <c r="S94" s="599"/>
      <c r="T94" s="600"/>
      <c r="U94" s="600"/>
      <c r="V94" s="600"/>
      <c r="W94" s="600"/>
      <c r="X94" s="600"/>
      <c r="Y94" s="600"/>
      <c r="Z94" s="600"/>
      <c r="AA94" s="811"/>
    </row>
    <row r="95" spans="1:27" ht="51" customHeight="1">
      <c r="A95" s="604" t="s">
        <v>848</v>
      </c>
      <c r="B95" s="609">
        <v>1</v>
      </c>
      <c r="C95" s="812">
        <v>9200</v>
      </c>
      <c r="D95" s="598" t="s">
        <v>805</v>
      </c>
      <c r="E95" s="600"/>
      <c r="F95" s="600"/>
      <c r="G95" s="600"/>
      <c r="H95" s="600"/>
      <c r="I95" s="600"/>
      <c r="J95" s="600"/>
      <c r="K95" s="600"/>
      <c r="L95" s="600"/>
      <c r="M95" s="600"/>
      <c r="N95" s="605"/>
      <c r="O95" s="605"/>
      <c r="P95" s="812">
        <f t="shared" si="0"/>
        <v>9200</v>
      </c>
      <c r="Q95" s="600"/>
      <c r="R95" s="599"/>
      <c r="S95" s="599"/>
      <c r="T95" s="600"/>
      <c r="U95" s="600"/>
      <c r="V95" s="600"/>
      <c r="W95" s="600"/>
      <c r="X95" s="600"/>
      <c r="Y95" s="600"/>
      <c r="Z95" s="600"/>
      <c r="AA95" s="811"/>
    </row>
    <row r="96" spans="1:27" ht="51" customHeight="1">
      <c r="A96" s="604" t="s">
        <v>856</v>
      </c>
      <c r="B96" s="609">
        <v>1</v>
      </c>
      <c r="C96" s="812">
        <v>10000</v>
      </c>
      <c r="D96" s="598" t="s">
        <v>805</v>
      </c>
      <c r="E96" s="600"/>
      <c r="F96" s="600"/>
      <c r="G96" s="600"/>
      <c r="H96" s="600"/>
      <c r="I96" s="600"/>
      <c r="J96" s="600"/>
      <c r="K96" s="600"/>
      <c r="L96" s="600"/>
      <c r="M96" s="600"/>
      <c r="N96" s="605"/>
      <c r="O96" s="605"/>
      <c r="P96" s="812">
        <f t="shared" si="0"/>
        <v>10000</v>
      </c>
      <c r="Q96" s="600"/>
      <c r="R96" s="599"/>
      <c r="S96" s="599"/>
      <c r="T96" s="600"/>
      <c r="U96" s="600"/>
      <c r="V96" s="600"/>
      <c r="W96" s="600"/>
      <c r="X96" s="600"/>
      <c r="Y96" s="600"/>
      <c r="Z96" s="600"/>
      <c r="AA96" s="811"/>
    </row>
    <row r="97" spans="1:27" ht="51" customHeight="1">
      <c r="A97" s="604" t="s">
        <v>857</v>
      </c>
      <c r="B97" s="609">
        <v>1</v>
      </c>
      <c r="C97" s="812">
        <v>10000</v>
      </c>
      <c r="D97" s="598" t="s">
        <v>805</v>
      </c>
      <c r="E97" s="600"/>
      <c r="F97" s="600"/>
      <c r="G97" s="600"/>
      <c r="H97" s="600"/>
      <c r="I97" s="600"/>
      <c r="J97" s="600"/>
      <c r="K97" s="600"/>
      <c r="L97" s="600"/>
      <c r="M97" s="600"/>
      <c r="N97" s="605"/>
      <c r="O97" s="605"/>
      <c r="P97" s="812">
        <f t="shared" si="0"/>
        <v>10000</v>
      </c>
      <c r="Q97" s="600"/>
      <c r="R97" s="599"/>
      <c r="S97" s="599"/>
      <c r="T97" s="600"/>
      <c r="U97" s="600"/>
      <c r="V97" s="600"/>
      <c r="W97" s="600"/>
      <c r="X97" s="600"/>
      <c r="Y97" s="600"/>
      <c r="Z97" s="600"/>
      <c r="AA97" s="811"/>
    </row>
    <row r="98" spans="1:27" ht="51" customHeight="1">
      <c r="A98" s="604" t="s">
        <v>854</v>
      </c>
      <c r="B98" s="609">
        <v>1</v>
      </c>
      <c r="C98" s="812">
        <v>10000</v>
      </c>
      <c r="D98" s="598" t="s">
        <v>805</v>
      </c>
      <c r="E98" s="600"/>
      <c r="F98" s="600"/>
      <c r="G98" s="600"/>
      <c r="H98" s="600"/>
      <c r="I98" s="600"/>
      <c r="J98" s="600"/>
      <c r="K98" s="600"/>
      <c r="L98" s="600"/>
      <c r="M98" s="600"/>
      <c r="N98" s="605"/>
      <c r="O98" s="605"/>
      <c r="P98" s="812">
        <f t="shared" si="0"/>
        <v>10000</v>
      </c>
      <c r="Q98" s="600"/>
      <c r="R98" s="599"/>
      <c r="S98" s="599"/>
      <c r="T98" s="600"/>
      <c r="U98" s="600"/>
      <c r="V98" s="600"/>
      <c r="W98" s="600"/>
      <c r="X98" s="600"/>
      <c r="Y98" s="600"/>
      <c r="Z98" s="600"/>
      <c r="AA98" s="811"/>
    </row>
    <row r="99" spans="1:27" ht="51" customHeight="1">
      <c r="A99" s="604" t="s">
        <v>858</v>
      </c>
      <c r="B99" s="609">
        <v>1</v>
      </c>
      <c r="C99" s="812">
        <v>11000</v>
      </c>
      <c r="D99" s="598" t="s">
        <v>805</v>
      </c>
      <c r="E99" s="600"/>
      <c r="F99" s="600"/>
      <c r="G99" s="600"/>
      <c r="H99" s="600"/>
      <c r="I99" s="600"/>
      <c r="J99" s="600"/>
      <c r="K99" s="600"/>
      <c r="L99" s="600"/>
      <c r="M99" s="600"/>
      <c r="N99" s="605"/>
      <c r="O99" s="605"/>
      <c r="P99" s="812">
        <f t="shared" si="0"/>
        <v>11000</v>
      </c>
      <c r="Q99" s="600"/>
      <c r="R99" s="599"/>
      <c r="S99" s="599"/>
      <c r="T99" s="600"/>
      <c r="U99" s="600"/>
      <c r="V99" s="600"/>
      <c r="W99" s="600"/>
      <c r="X99" s="600"/>
      <c r="Y99" s="600"/>
      <c r="Z99" s="600"/>
      <c r="AA99" s="811"/>
    </row>
    <row r="100" spans="1:27" ht="51" customHeight="1">
      <c r="A100" s="604" t="s">
        <v>859</v>
      </c>
      <c r="B100" s="609">
        <v>1</v>
      </c>
      <c r="C100" s="812">
        <v>11000</v>
      </c>
      <c r="D100" s="598" t="s">
        <v>805</v>
      </c>
      <c r="E100" s="600"/>
      <c r="F100" s="600"/>
      <c r="G100" s="600"/>
      <c r="H100" s="600"/>
      <c r="I100" s="600"/>
      <c r="J100" s="600"/>
      <c r="K100" s="600"/>
      <c r="L100" s="600"/>
      <c r="M100" s="600"/>
      <c r="N100" s="605"/>
      <c r="O100" s="605"/>
      <c r="P100" s="812">
        <f t="shared" si="0"/>
        <v>11000</v>
      </c>
      <c r="Q100" s="600"/>
      <c r="R100" s="599"/>
      <c r="S100" s="599"/>
      <c r="T100" s="600"/>
      <c r="U100" s="600"/>
      <c r="V100" s="600"/>
      <c r="W100" s="600"/>
      <c r="X100" s="600"/>
      <c r="Y100" s="600"/>
      <c r="Z100" s="600"/>
      <c r="AA100" s="811"/>
    </row>
    <row r="101" spans="1:27" ht="51" customHeight="1">
      <c r="A101" s="604" t="s">
        <v>854</v>
      </c>
      <c r="B101" s="609">
        <v>4</v>
      </c>
      <c r="C101" s="812">
        <v>11000</v>
      </c>
      <c r="D101" s="598" t="s">
        <v>805</v>
      </c>
      <c r="E101" s="600"/>
      <c r="F101" s="600"/>
      <c r="G101" s="600"/>
      <c r="H101" s="600"/>
      <c r="I101" s="600"/>
      <c r="J101" s="600"/>
      <c r="K101" s="600"/>
      <c r="L101" s="600"/>
      <c r="M101" s="600"/>
      <c r="N101" s="605"/>
      <c r="O101" s="605"/>
      <c r="P101" s="812">
        <f t="shared" si="0"/>
        <v>44000</v>
      </c>
      <c r="Q101" s="600"/>
      <c r="R101" s="599"/>
      <c r="S101" s="599"/>
      <c r="T101" s="600"/>
      <c r="U101" s="600"/>
      <c r="V101" s="600"/>
      <c r="W101" s="600"/>
      <c r="X101" s="600"/>
      <c r="Y101" s="600"/>
      <c r="Z101" s="600"/>
      <c r="AA101" s="811"/>
    </row>
    <row r="102" spans="1:27" ht="51" customHeight="1">
      <c r="A102" s="604" t="s">
        <v>860</v>
      </c>
      <c r="B102" s="609">
        <v>1</v>
      </c>
      <c r="C102" s="812">
        <v>12400</v>
      </c>
      <c r="D102" s="598" t="s">
        <v>805</v>
      </c>
      <c r="E102" s="600"/>
      <c r="F102" s="600"/>
      <c r="G102" s="600"/>
      <c r="H102" s="600"/>
      <c r="I102" s="600"/>
      <c r="J102" s="600"/>
      <c r="K102" s="600"/>
      <c r="L102" s="600"/>
      <c r="M102" s="600"/>
      <c r="N102" s="605"/>
      <c r="O102" s="605"/>
      <c r="P102" s="812">
        <f t="shared" si="0"/>
        <v>12400</v>
      </c>
      <c r="Q102" s="600"/>
      <c r="R102" s="599"/>
      <c r="S102" s="599"/>
      <c r="T102" s="600"/>
      <c r="U102" s="600"/>
      <c r="V102" s="600"/>
      <c r="W102" s="600"/>
      <c r="X102" s="600"/>
      <c r="Y102" s="600"/>
      <c r="Z102" s="600"/>
      <c r="AA102" s="811"/>
    </row>
    <row r="103" spans="1:27" ht="51" customHeight="1">
      <c r="A103" s="604" t="s">
        <v>861</v>
      </c>
      <c r="B103" s="609">
        <v>1</v>
      </c>
      <c r="C103" s="812">
        <v>13500</v>
      </c>
      <c r="D103" s="598" t="s">
        <v>805</v>
      </c>
      <c r="E103" s="600"/>
      <c r="F103" s="600"/>
      <c r="G103" s="600"/>
      <c r="H103" s="600"/>
      <c r="I103" s="600"/>
      <c r="J103" s="600"/>
      <c r="K103" s="600"/>
      <c r="L103" s="600"/>
      <c r="M103" s="600"/>
      <c r="N103" s="605"/>
      <c r="O103" s="605"/>
      <c r="P103" s="812">
        <f t="shared" si="0"/>
        <v>13500</v>
      </c>
      <c r="Q103" s="600"/>
      <c r="R103" s="599"/>
      <c r="S103" s="599"/>
      <c r="T103" s="600"/>
      <c r="U103" s="600"/>
      <c r="V103" s="600"/>
      <c r="W103" s="600"/>
      <c r="X103" s="600"/>
      <c r="Y103" s="600"/>
      <c r="Z103" s="600"/>
      <c r="AA103" s="811"/>
    </row>
    <row r="104" spans="1:27" ht="51" customHeight="1">
      <c r="A104" s="604" t="s">
        <v>862</v>
      </c>
      <c r="B104" s="609">
        <v>1</v>
      </c>
      <c r="C104" s="812">
        <v>15000</v>
      </c>
      <c r="D104" s="598" t="s">
        <v>805</v>
      </c>
      <c r="E104" s="600"/>
      <c r="F104" s="600"/>
      <c r="G104" s="600"/>
      <c r="H104" s="600"/>
      <c r="I104" s="600"/>
      <c r="J104" s="600"/>
      <c r="K104" s="600"/>
      <c r="L104" s="600"/>
      <c r="M104" s="600"/>
      <c r="N104" s="605"/>
      <c r="O104" s="605"/>
      <c r="P104" s="812">
        <f t="shared" si="0"/>
        <v>15000</v>
      </c>
      <c r="Q104" s="600"/>
      <c r="R104" s="599"/>
      <c r="S104" s="599"/>
      <c r="T104" s="600"/>
      <c r="U104" s="600"/>
      <c r="V104" s="600"/>
      <c r="W104" s="600"/>
      <c r="X104" s="600"/>
      <c r="Y104" s="600"/>
      <c r="Z104" s="600"/>
      <c r="AA104" s="811"/>
    </row>
    <row r="105" spans="1:27" ht="51" customHeight="1">
      <c r="A105" s="604" t="s">
        <v>863</v>
      </c>
      <c r="B105" s="609">
        <v>1</v>
      </c>
      <c r="C105" s="812">
        <v>15000</v>
      </c>
      <c r="D105" s="598" t="s">
        <v>805</v>
      </c>
      <c r="E105" s="600"/>
      <c r="F105" s="600"/>
      <c r="G105" s="600"/>
      <c r="H105" s="600"/>
      <c r="I105" s="600"/>
      <c r="J105" s="600"/>
      <c r="K105" s="600"/>
      <c r="L105" s="600"/>
      <c r="M105" s="600"/>
      <c r="N105" s="605"/>
      <c r="O105" s="605"/>
      <c r="P105" s="812">
        <f t="shared" si="0"/>
        <v>15000</v>
      </c>
      <c r="Q105" s="600"/>
      <c r="R105" s="599"/>
      <c r="S105" s="599"/>
      <c r="T105" s="600"/>
      <c r="U105" s="600"/>
      <c r="V105" s="600"/>
      <c r="W105" s="600"/>
      <c r="X105" s="600"/>
      <c r="Y105" s="600"/>
      <c r="Z105" s="600"/>
      <c r="AA105" s="811"/>
    </row>
    <row r="106" spans="1:27" ht="51" customHeight="1">
      <c r="A106" s="604" t="s">
        <v>864</v>
      </c>
      <c r="B106" s="609">
        <v>2</v>
      </c>
      <c r="C106" s="812">
        <v>16000</v>
      </c>
      <c r="D106" s="598" t="s">
        <v>805</v>
      </c>
      <c r="E106" s="600"/>
      <c r="F106" s="600"/>
      <c r="G106" s="600"/>
      <c r="H106" s="600"/>
      <c r="I106" s="600"/>
      <c r="J106" s="600"/>
      <c r="K106" s="600"/>
      <c r="L106" s="600"/>
      <c r="M106" s="600"/>
      <c r="N106" s="605"/>
      <c r="O106" s="605"/>
      <c r="P106" s="812">
        <f t="shared" si="0"/>
        <v>32000</v>
      </c>
      <c r="Q106" s="600"/>
      <c r="R106" s="599"/>
      <c r="S106" s="599"/>
      <c r="T106" s="600"/>
      <c r="U106" s="600"/>
      <c r="V106" s="600"/>
      <c r="W106" s="600"/>
      <c r="X106" s="600"/>
      <c r="Y106" s="600"/>
      <c r="Z106" s="600"/>
      <c r="AA106" s="811"/>
    </row>
    <row r="107" spans="1:27" ht="51" customHeight="1">
      <c r="A107" s="604" t="s">
        <v>865</v>
      </c>
      <c r="B107" s="609">
        <v>1</v>
      </c>
      <c r="C107" s="812">
        <v>18000</v>
      </c>
      <c r="D107" s="598" t="s">
        <v>805</v>
      </c>
      <c r="E107" s="600"/>
      <c r="F107" s="600"/>
      <c r="G107" s="600"/>
      <c r="H107" s="600"/>
      <c r="I107" s="600"/>
      <c r="J107" s="600"/>
      <c r="K107" s="600"/>
      <c r="L107" s="600"/>
      <c r="M107" s="600"/>
      <c r="N107" s="605"/>
      <c r="O107" s="605"/>
      <c r="P107" s="812">
        <f t="shared" si="0"/>
        <v>18000</v>
      </c>
      <c r="Q107" s="600"/>
      <c r="R107" s="599"/>
      <c r="S107" s="599"/>
      <c r="T107" s="600"/>
      <c r="U107" s="600"/>
      <c r="V107" s="600"/>
      <c r="W107" s="600"/>
      <c r="X107" s="600"/>
      <c r="Y107" s="600"/>
      <c r="Z107" s="600"/>
      <c r="AA107" s="811"/>
    </row>
    <row r="108" spans="1:27" ht="51" customHeight="1">
      <c r="A108" s="604" t="s">
        <v>864</v>
      </c>
      <c r="B108" s="609">
        <v>1</v>
      </c>
      <c r="C108" s="812">
        <v>18000</v>
      </c>
      <c r="D108" s="598" t="s">
        <v>805</v>
      </c>
      <c r="E108" s="600"/>
      <c r="F108" s="600"/>
      <c r="G108" s="600"/>
      <c r="H108" s="600"/>
      <c r="I108" s="600"/>
      <c r="J108" s="600"/>
      <c r="K108" s="600"/>
      <c r="L108" s="600"/>
      <c r="M108" s="600"/>
      <c r="N108" s="605"/>
      <c r="O108" s="605"/>
      <c r="P108" s="812">
        <f t="shared" si="0"/>
        <v>18000</v>
      </c>
      <c r="Q108" s="600"/>
      <c r="R108" s="599"/>
      <c r="S108" s="599"/>
      <c r="T108" s="600"/>
      <c r="U108" s="600"/>
      <c r="V108" s="600"/>
      <c r="W108" s="600"/>
      <c r="X108" s="600"/>
      <c r="Y108" s="600"/>
      <c r="Z108" s="600"/>
      <c r="AA108" s="811"/>
    </row>
    <row r="109" spans="1:27" ht="51" customHeight="1">
      <c r="A109" s="604" t="s">
        <v>534</v>
      </c>
      <c r="B109" s="609">
        <v>1</v>
      </c>
      <c r="C109" s="812">
        <v>20000</v>
      </c>
      <c r="D109" s="598" t="s">
        <v>805</v>
      </c>
      <c r="E109" s="600"/>
      <c r="F109" s="600"/>
      <c r="G109" s="600"/>
      <c r="H109" s="600"/>
      <c r="I109" s="600"/>
      <c r="J109" s="600"/>
      <c r="K109" s="600"/>
      <c r="L109" s="600"/>
      <c r="M109" s="600"/>
      <c r="N109" s="605"/>
      <c r="O109" s="605"/>
      <c r="P109" s="812">
        <f t="shared" si="0"/>
        <v>20000</v>
      </c>
      <c r="Q109" s="600"/>
      <c r="R109" s="599"/>
      <c r="S109" s="599"/>
      <c r="T109" s="600"/>
      <c r="U109" s="600"/>
      <c r="V109" s="600"/>
      <c r="W109" s="600"/>
      <c r="X109" s="600"/>
      <c r="Y109" s="600"/>
      <c r="Z109" s="600"/>
      <c r="AA109" s="811"/>
    </row>
    <row r="110" spans="1:27" ht="51" customHeight="1">
      <c r="A110" s="604" t="s">
        <v>864</v>
      </c>
      <c r="B110" s="609">
        <v>1</v>
      </c>
      <c r="C110" s="812">
        <v>20000</v>
      </c>
      <c r="D110" s="598" t="s">
        <v>805</v>
      </c>
      <c r="E110" s="600"/>
      <c r="F110" s="600"/>
      <c r="G110" s="600"/>
      <c r="H110" s="600"/>
      <c r="I110" s="600"/>
      <c r="J110" s="600"/>
      <c r="K110" s="600"/>
      <c r="L110" s="600"/>
      <c r="M110" s="600"/>
      <c r="N110" s="605"/>
      <c r="O110" s="605"/>
      <c r="P110" s="812">
        <f t="shared" si="0"/>
        <v>20000</v>
      </c>
      <c r="Q110" s="600"/>
      <c r="R110" s="599"/>
      <c r="S110" s="599"/>
      <c r="T110" s="600"/>
      <c r="U110" s="600"/>
      <c r="V110" s="600"/>
      <c r="W110" s="600"/>
      <c r="X110" s="600"/>
      <c r="Y110" s="600"/>
      <c r="Z110" s="600"/>
      <c r="AA110" s="811"/>
    </row>
    <row r="111" spans="1:27" ht="51" customHeight="1">
      <c r="A111" s="604" t="s">
        <v>866</v>
      </c>
      <c r="B111" s="609">
        <v>1</v>
      </c>
      <c r="C111" s="812">
        <v>20000</v>
      </c>
      <c r="D111" s="598" t="s">
        <v>805</v>
      </c>
      <c r="E111" s="600"/>
      <c r="F111" s="600"/>
      <c r="G111" s="600"/>
      <c r="H111" s="600"/>
      <c r="I111" s="600"/>
      <c r="J111" s="600"/>
      <c r="K111" s="600"/>
      <c r="L111" s="600"/>
      <c r="M111" s="600"/>
      <c r="N111" s="605"/>
      <c r="O111" s="605"/>
      <c r="P111" s="812">
        <f t="shared" si="0"/>
        <v>20000</v>
      </c>
      <c r="Q111" s="600"/>
      <c r="R111" s="599"/>
      <c r="S111" s="599"/>
      <c r="T111" s="600"/>
      <c r="U111" s="600"/>
      <c r="V111" s="600"/>
      <c r="W111" s="600"/>
      <c r="X111" s="600"/>
      <c r="Y111" s="600"/>
      <c r="Z111" s="600"/>
      <c r="AA111" s="811"/>
    </row>
    <row r="112" spans="1:27" ht="51" customHeight="1">
      <c r="A112" s="604" t="s">
        <v>867</v>
      </c>
      <c r="B112" s="609">
        <v>1</v>
      </c>
      <c r="C112" s="812">
        <v>20000</v>
      </c>
      <c r="D112" s="598" t="s">
        <v>805</v>
      </c>
      <c r="E112" s="600"/>
      <c r="F112" s="600"/>
      <c r="G112" s="600"/>
      <c r="H112" s="600"/>
      <c r="I112" s="600"/>
      <c r="J112" s="600"/>
      <c r="K112" s="600"/>
      <c r="L112" s="600"/>
      <c r="M112" s="600"/>
      <c r="N112" s="605"/>
      <c r="O112" s="605"/>
      <c r="P112" s="812">
        <f t="shared" si="0"/>
        <v>20000</v>
      </c>
      <c r="Q112" s="600"/>
      <c r="R112" s="599"/>
      <c r="S112" s="599"/>
      <c r="T112" s="600"/>
      <c r="U112" s="600"/>
      <c r="V112" s="600"/>
      <c r="W112" s="600"/>
      <c r="X112" s="600"/>
      <c r="Y112" s="600"/>
      <c r="Z112" s="600"/>
      <c r="AA112" s="811"/>
    </row>
    <row r="113" spans="1:27" ht="51" customHeight="1">
      <c r="A113" s="604" t="s">
        <v>868</v>
      </c>
      <c r="B113" s="609">
        <v>1</v>
      </c>
      <c r="C113" s="812">
        <v>20000</v>
      </c>
      <c r="D113" s="598" t="s">
        <v>805</v>
      </c>
      <c r="E113" s="600"/>
      <c r="F113" s="600"/>
      <c r="G113" s="600"/>
      <c r="H113" s="600"/>
      <c r="I113" s="600"/>
      <c r="J113" s="600"/>
      <c r="K113" s="600"/>
      <c r="L113" s="600"/>
      <c r="M113" s="600"/>
      <c r="N113" s="605"/>
      <c r="O113" s="605"/>
      <c r="P113" s="812">
        <f t="shared" si="0"/>
        <v>20000</v>
      </c>
      <c r="Q113" s="600"/>
      <c r="R113" s="599"/>
      <c r="S113" s="599"/>
      <c r="T113" s="600"/>
      <c r="U113" s="600"/>
      <c r="V113" s="600"/>
      <c r="W113" s="600"/>
      <c r="X113" s="600"/>
      <c r="Y113" s="600"/>
      <c r="Z113" s="600"/>
      <c r="AA113" s="811"/>
    </row>
    <row r="114" spans="1:27" ht="51" customHeight="1">
      <c r="A114" s="604" t="s">
        <v>869</v>
      </c>
      <c r="B114" s="609">
        <v>1</v>
      </c>
      <c r="C114" s="812">
        <v>20000</v>
      </c>
      <c r="D114" s="598" t="s">
        <v>805</v>
      </c>
      <c r="E114" s="600"/>
      <c r="F114" s="600"/>
      <c r="G114" s="600"/>
      <c r="H114" s="600"/>
      <c r="I114" s="600"/>
      <c r="J114" s="600"/>
      <c r="K114" s="600"/>
      <c r="L114" s="600"/>
      <c r="M114" s="600"/>
      <c r="N114" s="605"/>
      <c r="O114" s="605"/>
      <c r="P114" s="812">
        <f t="shared" si="0"/>
        <v>20000</v>
      </c>
      <c r="Q114" s="600"/>
      <c r="R114" s="599"/>
      <c r="S114" s="599"/>
      <c r="T114" s="600"/>
      <c r="U114" s="600"/>
      <c r="V114" s="600"/>
      <c r="W114" s="600"/>
      <c r="X114" s="600"/>
      <c r="Y114" s="600"/>
      <c r="Z114" s="600"/>
      <c r="AA114" s="811"/>
    </row>
    <row r="115" spans="1:27" ht="51" customHeight="1">
      <c r="A115" s="604" t="s">
        <v>870</v>
      </c>
      <c r="B115" s="609">
        <v>1</v>
      </c>
      <c r="C115" s="812">
        <v>22000</v>
      </c>
      <c r="D115" s="598" t="s">
        <v>805</v>
      </c>
      <c r="E115" s="600"/>
      <c r="F115" s="600"/>
      <c r="G115" s="600"/>
      <c r="H115" s="600"/>
      <c r="I115" s="600"/>
      <c r="J115" s="600"/>
      <c r="K115" s="600"/>
      <c r="L115" s="600"/>
      <c r="M115" s="600"/>
      <c r="N115" s="605"/>
      <c r="O115" s="605"/>
      <c r="P115" s="812">
        <f t="shared" si="0"/>
        <v>22000</v>
      </c>
      <c r="Q115" s="600"/>
      <c r="R115" s="599"/>
      <c r="S115" s="599"/>
      <c r="T115" s="600"/>
      <c r="U115" s="600"/>
      <c r="V115" s="600"/>
      <c r="W115" s="600"/>
      <c r="X115" s="600"/>
      <c r="Y115" s="600"/>
      <c r="Z115" s="600"/>
      <c r="AA115" s="811"/>
    </row>
    <row r="116" spans="1:27" ht="51" customHeight="1">
      <c r="A116" s="604" t="s">
        <v>871</v>
      </c>
      <c r="B116" s="609">
        <v>1</v>
      </c>
      <c r="C116" s="812">
        <v>22400</v>
      </c>
      <c r="D116" s="598" t="s">
        <v>805</v>
      </c>
      <c r="E116" s="600"/>
      <c r="F116" s="600"/>
      <c r="G116" s="600"/>
      <c r="H116" s="600"/>
      <c r="I116" s="600"/>
      <c r="J116" s="600"/>
      <c r="K116" s="600"/>
      <c r="L116" s="600"/>
      <c r="M116" s="600"/>
      <c r="N116" s="605"/>
      <c r="O116" s="605"/>
      <c r="P116" s="812">
        <f t="shared" si="0"/>
        <v>22400</v>
      </c>
      <c r="Q116" s="606">
        <v>533350</v>
      </c>
      <c r="R116" s="599"/>
      <c r="S116" s="599"/>
      <c r="T116" s="600"/>
      <c r="U116" s="600"/>
      <c r="V116" s="600"/>
      <c r="W116" s="600"/>
      <c r="X116" s="600"/>
      <c r="Y116" s="600"/>
      <c r="Z116" s="600"/>
      <c r="AA116" s="811"/>
    </row>
    <row r="117" spans="1:27" ht="51" customHeight="1">
      <c r="A117" s="604" t="s">
        <v>872</v>
      </c>
      <c r="B117" s="609">
        <v>1</v>
      </c>
      <c r="C117" s="812">
        <v>2400</v>
      </c>
      <c r="D117" s="598" t="s">
        <v>806</v>
      </c>
      <c r="E117" s="600"/>
      <c r="F117" s="600"/>
      <c r="G117" s="600"/>
      <c r="H117" s="600"/>
      <c r="I117" s="600"/>
      <c r="J117" s="600"/>
      <c r="K117" s="600"/>
      <c r="L117" s="600"/>
      <c r="M117" s="600"/>
      <c r="N117" s="605"/>
      <c r="O117" s="605"/>
      <c r="P117" s="812">
        <f t="shared" si="0"/>
        <v>2400</v>
      </c>
      <c r="Q117" s="600"/>
      <c r="R117" s="599"/>
      <c r="S117" s="599"/>
      <c r="T117" s="600"/>
      <c r="U117" s="600"/>
      <c r="V117" s="600"/>
      <c r="W117" s="600"/>
      <c r="X117" s="600"/>
      <c r="Y117" s="600"/>
      <c r="Z117" s="600"/>
      <c r="AA117" s="811"/>
    </row>
    <row r="118" spans="1:27" ht="51" customHeight="1">
      <c r="A118" s="604" t="s">
        <v>872</v>
      </c>
      <c r="B118" s="609">
        <v>1</v>
      </c>
      <c r="C118" s="812">
        <v>2500</v>
      </c>
      <c r="D118" s="598" t="s">
        <v>806</v>
      </c>
      <c r="E118" s="600"/>
      <c r="F118" s="600"/>
      <c r="G118" s="600"/>
      <c r="H118" s="600"/>
      <c r="I118" s="600"/>
      <c r="J118" s="600"/>
      <c r="K118" s="600"/>
      <c r="L118" s="600"/>
      <c r="M118" s="600"/>
      <c r="N118" s="605"/>
      <c r="O118" s="605"/>
      <c r="P118" s="812">
        <f t="shared" si="0"/>
        <v>2500</v>
      </c>
      <c r="Q118" s="600"/>
      <c r="R118" s="599"/>
      <c r="S118" s="599"/>
      <c r="T118" s="600"/>
      <c r="U118" s="600"/>
      <c r="V118" s="600"/>
      <c r="W118" s="600"/>
      <c r="X118" s="600"/>
      <c r="Y118" s="600"/>
      <c r="Z118" s="600"/>
      <c r="AA118" s="811"/>
    </row>
    <row r="119" spans="1:27" ht="51" customHeight="1">
      <c r="A119" s="604" t="s">
        <v>872</v>
      </c>
      <c r="B119" s="609">
        <v>2</v>
      </c>
      <c r="C119" s="812">
        <v>3000</v>
      </c>
      <c r="D119" s="598" t="s">
        <v>806</v>
      </c>
      <c r="E119" s="600"/>
      <c r="F119" s="600"/>
      <c r="G119" s="600"/>
      <c r="H119" s="600"/>
      <c r="I119" s="600"/>
      <c r="J119" s="600"/>
      <c r="K119" s="600"/>
      <c r="L119" s="600"/>
      <c r="M119" s="600"/>
      <c r="N119" s="605"/>
      <c r="O119" s="605"/>
      <c r="P119" s="812">
        <f t="shared" si="0"/>
        <v>6000</v>
      </c>
      <c r="Q119" s="600"/>
      <c r="R119" s="599"/>
      <c r="S119" s="599"/>
      <c r="T119" s="600"/>
      <c r="U119" s="600"/>
      <c r="V119" s="600"/>
      <c r="W119" s="600"/>
      <c r="X119" s="600"/>
      <c r="Y119" s="600"/>
      <c r="Z119" s="600"/>
      <c r="AA119" s="811"/>
    </row>
    <row r="120" spans="1:27" ht="51" customHeight="1">
      <c r="A120" s="604" t="s">
        <v>873</v>
      </c>
      <c r="B120" s="609">
        <v>1</v>
      </c>
      <c r="C120" s="812">
        <v>3500</v>
      </c>
      <c r="D120" s="598" t="s">
        <v>806</v>
      </c>
      <c r="E120" s="600"/>
      <c r="F120" s="600"/>
      <c r="G120" s="600"/>
      <c r="H120" s="600"/>
      <c r="I120" s="600"/>
      <c r="J120" s="600"/>
      <c r="K120" s="600"/>
      <c r="L120" s="600"/>
      <c r="M120" s="600"/>
      <c r="N120" s="605"/>
      <c r="O120" s="605"/>
      <c r="P120" s="812">
        <f t="shared" si="0"/>
        <v>3500</v>
      </c>
      <c r="Q120" s="600"/>
      <c r="R120" s="599"/>
      <c r="S120" s="599"/>
      <c r="T120" s="600"/>
      <c r="U120" s="600"/>
      <c r="V120" s="600"/>
      <c r="W120" s="600"/>
      <c r="X120" s="600"/>
      <c r="Y120" s="600"/>
      <c r="Z120" s="600"/>
      <c r="AA120" s="811"/>
    </row>
    <row r="121" spans="1:27" ht="51" customHeight="1">
      <c r="A121" s="604" t="s">
        <v>874</v>
      </c>
      <c r="B121" s="609">
        <v>2</v>
      </c>
      <c r="C121" s="812">
        <v>4000</v>
      </c>
      <c r="D121" s="598" t="s">
        <v>806</v>
      </c>
      <c r="E121" s="600"/>
      <c r="F121" s="600"/>
      <c r="G121" s="600"/>
      <c r="H121" s="600"/>
      <c r="I121" s="600"/>
      <c r="J121" s="600"/>
      <c r="K121" s="600"/>
      <c r="L121" s="600"/>
      <c r="M121" s="600"/>
      <c r="N121" s="605"/>
      <c r="O121" s="605"/>
      <c r="P121" s="812">
        <f t="shared" si="0"/>
        <v>8000</v>
      </c>
      <c r="Q121" s="600"/>
      <c r="R121" s="599"/>
      <c r="S121" s="599"/>
      <c r="T121" s="600"/>
      <c r="U121" s="600"/>
      <c r="V121" s="600"/>
      <c r="W121" s="600"/>
      <c r="X121" s="600"/>
      <c r="Y121" s="600"/>
      <c r="Z121" s="600"/>
      <c r="AA121" s="811"/>
    </row>
    <row r="122" spans="1:27" ht="51" customHeight="1">
      <c r="A122" s="604" t="s">
        <v>872</v>
      </c>
      <c r="B122" s="609">
        <v>1</v>
      </c>
      <c r="C122" s="812">
        <v>4000</v>
      </c>
      <c r="D122" s="598" t="s">
        <v>806</v>
      </c>
      <c r="E122" s="600"/>
      <c r="F122" s="600"/>
      <c r="G122" s="600"/>
      <c r="H122" s="600"/>
      <c r="I122" s="600"/>
      <c r="J122" s="600"/>
      <c r="K122" s="600"/>
      <c r="L122" s="600"/>
      <c r="M122" s="600"/>
      <c r="N122" s="605"/>
      <c r="O122" s="605"/>
      <c r="P122" s="812">
        <f t="shared" si="0"/>
        <v>4000</v>
      </c>
      <c r="Q122" s="600"/>
      <c r="R122" s="599"/>
      <c r="S122" s="599"/>
      <c r="T122" s="600"/>
      <c r="U122" s="600"/>
      <c r="V122" s="600"/>
      <c r="W122" s="600"/>
      <c r="X122" s="600"/>
      <c r="Y122" s="600"/>
      <c r="Z122" s="600"/>
      <c r="AA122" s="811"/>
    </row>
    <row r="123" spans="1:27" ht="51" customHeight="1">
      <c r="A123" s="604" t="s">
        <v>872</v>
      </c>
      <c r="B123" s="609">
        <v>1</v>
      </c>
      <c r="C123" s="812">
        <v>4250</v>
      </c>
      <c r="D123" s="598" t="s">
        <v>806</v>
      </c>
      <c r="E123" s="600"/>
      <c r="F123" s="600"/>
      <c r="G123" s="600"/>
      <c r="H123" s="600"/>
      <c r="I123" s="600"/>
      <c r="J123" s="600"/>
      <c r="K123" s="600"/>
      <c r="L123" s="600"/>
      <c r="M123" s="600"/>
      <c r="N123" s="605"/>
      <c r="O123" s="605"/>
      <c r="P123" s="812">
        <f t="shared" si="0"/>
        <v>4250</v>
      </c>
      <c r="Q123" s="600"/>
      <c r="R123" s="599"/>
      <c r="S123" s="599"/>
      <c r="T123" s="600"/>
      <c r="U123" s="600"/>
      <c r="V123" s="600"/>
      <c r="W123" s="600"/>
      <c r="X123" s="600"/>
      <c r="Y123" s="600"/>
      <c r="Z123" s="600"/>
      <c r="AA123" s="811"/>
    </row>
    <row r="124" spans="1:27" ht="51" customHeight="1">
      <c r="A124" s="604" t="s">
        <v>853</v>
      </c>
      <c r="B124" s="609">
        <v>1</v>
      </c>
      <c r="C124" s="812">
        <v>5000</v>
      </c>
      <c r="D124" s="598" t="s">
        <v>806</v>
      </c>
      <c r="E124" s="600"/>
      <c r="F124" s="600"/>
      <c r="G124" s="600"/>
      <c r="H124" s="600"/>
      <c r="I124" s="600"/>
      <c r="J124" s="600"/>
      <c r="K124" s="600"/>
      <c r="L124" s="600"/>
      <c r="M124" s="600"/>
      <c r="N124" s="605"/>
      <c r="O124" s="605"/>
      <c r="P124" s="812">
        <f t="shared" si="0"/>
        <v>5000</v>
      </c>
      <c r="Q124" s="600"/>
      <c r="R124" s="599"/>
      <c r="S124" s="599"/>
      <c r="T124" s="600"/>
      <c r="U124" s="600"/>
      <c r="V124" s="600"/>
      <c r="W124" s="600"/>
      <c r="X124" s="600"/>
      <c r="Y124" s="600"/>
      <c r="Z124" s="600"/>
      <c r="AA124" s="811"/>
    </row>
    <row r="125" spans="1:27" ht="51" customHeight="1">
      <c r="A125" s="604" t="s">
        <v>874</v>
      </c>
      <c r="B125" s="609">
        <v>1</v>
      </c>
      <c r="C125" s="812">
        <v>5700</v>
      </c>
      <c r="D125" s="598" t="s">
        <v>806</v>
      </c>
      <c r="E125" s="600"/>
      <c r="F125" s="600"/>
      <c r="G125" s="600"/>
      <c r="H125" s="600"/>
      <c r="I125" s="600"/>
      <c r="J125" s="600"/>
      <c r="K125" s="600"/>
      <c r="L125" s="600"/>
      <c r="M125" s="600"/>
      <c r="N125" s="605"/>
      <c r="O125" s="605"/>
      <c r="P125" s="812">
        <f t="shared" si="0"/>
        <v>5700</v>
      </c>
      <c r="Q125" s="600"/>
      <c r="R125" s="599"/>
      <c r="S125" s="599"/>
      <c r="T125" s="600"/>
      <c r="U125" s="600"/>
      <c r="V125" s="600"/>
      <c r="W125" s="600"/>
      <c r="X125" s="600"/>
      <c r="Y125" s="600"/>
      <c r="Z125" s="600"/>
      <c r="AA125" s="811"/>
    </row>
    <row r="126" spans="1:27" ht="51" customHeight="1">
      <c r="A126" s="604" t="s">
        <v>874</v>
      </c>
      <c r="B126" s="609">
        <v>1</v>
      </c>
      <c r="C126" s="812">
        <v>6000</v>
      </c>
      <c r="D126" s="598" t="s">
        <v>806</v>
      </c>
      <c r="E126" s="600"/>
      <c r="F126" s="600"/>
      <c r="G126" s="600"/>
      <c r="H126" s="600"/>
      <c r="I126" s="600"/>
      <c r="J126" s="600"/>
      <c r="K126" s="600"/>
      <c r="L126" s="600"/>
      <c r="M126" s="600"/>
      <c r="N126" s="605"/>
      <c r="O126" s="605"/>
      <c r="P126" s="812">
        <f t="shared" si="0"/>
        <v>6000</v>
      </c>
      <c r="Q126" s="600"/>
      <c r="R126" s="599"/>
      <c r="S126" s="599"/>
      <c r="T126" s="600"/>
      <c r="U126" s="600"/>
      <c r="V126" s="600"/>
      <c r="W126" s="600"/>
      <c r="X126" s="600"/>
      <c r="Y126" s="600"/>
      <c r="Z126" s="600"/>
      <c r="AA126" s="811"/>
    </row>
    <row r="127" spans="1:27" ht="51" customHeight="1">
      <c r="A127" s="604" t="s">
        <v>875</v>
      </c>
      <c r="B127" s="609">
        <v>1</v>
      </c>
      <c r="C127" s="812">
        <v>6000</v>
      </c>
      <c r="D127" s="598" t="s">
        <v>806</v>
      </c>
      <c r="E127" s="600"/>
      <c r="F127" s="600"/>
      <c r="G127" s="600"/>
      <c r="H127" s="600"/>
      <c r="I127" s="600"/>
      <c r="J127" s="600"/>
      <c r="K127" s="600"/>
      <c r="L127" s="600"/>
      <c r="M127" s="600"/>
      <c r="N127" s="605"/>
      <c r="O127" s="605"/>
      <c r="P127" s="812">
        <f t="shared" si="0"/>
        <v>6000</v>
      </c>
      <c r="Q127" s="600"/>
      <c r="R127" s="599"/>
      <c r="S127" s="599"/>
      <c r="T127" s="600"/>
      <c r="U127" s="600"/>
      <c r="V127" s="600"/>
      <c r="W127" s="600"/>
      <c r="X127" s="600"/>
      <c r="Y127" s="600"/>
      <c r="Z127" s="600"/>
      <c r="AA127" s="811"/>
    </row>
    <row r="128" spans="1:27" ht="51" customHeight="1">
      <c r="A128" s="604" t="s">
        <v>874</v>
      </c>
      <c r="B128" s="609">
        <v>1</v>
      </c>
      <c r="C128" s="812">
        <v>6500</v>
      </c>
      <c r="D128" s="598" t="s">
        <v>806</v>
      </c>
      <c r="E128" s="600"/>
      <c r="F128" s="600"/>
      <c r="G128" s="600"/>
      <c r="H128" s="600"/>
      <c r="I128" s="600"/>
      <c r="J128" s="600"/>
      <c r="K128" s="600"/>
      <c r="L128" s="600"/>
      <c r="M128" s="600"/>
      <c r="N128" s="605"/>
      <c r="O128" s="605"/>
      <c r="P128" s="812">
        <f t="shared" si="0"/>
        <v>6500</v>
      </c>
      <c r="Q128" s="600"/>
      <c r="R128" s="599"/>
      <c r="S128" s="599"/>
      <c r="T128" s="600"/>
      <c r="U128" s="600"/>
      <c r="V128" s="600"/>
      <c r="W128" s="600"/>
      <c r="X128" s="600"/>
      <c r="Y128" s="600"/>
      <c r="Z128" s="600"/>
      <c r="AA128" s="811"/>
    </row>
    <row r="129" spans="1:27" ht="51" customHeight="1">
      <c r="A129" s="604" t="s">
        <v>876</v>
      </c>
      <c r="B129" s="609">
        <v>2</v>
      </c>
      <c r="C129" s="812">
        <v>7000</v>
      </c>
      <c r="D129" s="598" t="s">
        <v>806</v>
      </c>
      <c r="E129" s="600"/>
      <c r="F129" s="600"/>
      <c r="G129" s="600"/>
      <c r="H129" s="600"/>
      <c r="I129" s="600"/>
      <c r="J129" s="600"/>
      <c r="K129" s="600"/>
      <c r="L129" s="600"/>
      <c r="M129" s="600"/>
      <c r="N129" s="605"/>
      <c r="O129" s="605"/>
      <c r="P129" s="812">
        <f t="shared" si="0"/>
        <v>14000</v>
      </c>
      <c r="Q129" s="600"/>
      <c r="R129" s="599"/>
      <c r="S129" s="599"/>
      <c r="T129" s="600"/>
      <c r="U129" s="600"/>
      <c r="V129" s="600"/>
      <c r="W129" s="600"/>
      <c r="X129" s="600"/>
      <c r="Y129" s="600"/>
      <c r="Z129" s="600"/>
      <c r="AA129" s="811"/>
    </row>
    <row r="130" spans="1:27" ht="51" customHeight="1">
      <c r="A130" s="604" t="s">
        <v>877</v>
      </c>
      <c r="B130" s="609">
        <v>1</v>
      </c>
      <c r="C130" s="812">
        <v>7000</v>
      </c>
      <c r="D130" s="598" t="s">
        <v>806</v>
      </c>
      <c r="E130" s="600"/>
      <c r="F130" s="600"/>
      <c r="G130" s="600"/>
      <c r="H130" s="600"/>
      <c r="I130" s="600"/>
      <c r="J130" s="600"/>
      <c r="K130" s="600"/>
      <c r="L130" s="600"/>
      <c r="M130" s="600"/>
      <c r="N130" s="605"/>
      <c r="O130" s="605"/>
      <c r="P130" s="812">
        <f t="shared" si="0"/>
        <v>7000</v>
      </c>
      <c r="Q130" s="600"/>
      <c r="R130" s="599"/>
      <c r="S130" s="599"/>
      <c r="T130" s="600"/>
      <c r="U130" s="600"/>
      <c r="V130" s="600"/>
      <c r="W130" s="600"/>
      <c r="X130" s="600"/>
      <c r="Y130" s="600"/>
      <c r="Z130" s="600"/>
      <c r="AA130" s="811"/>
    </row>
    <row r="131" spans="1:27" ht="51" customHeight="1">
      <c r="A131" s="604" t="s">
        <v>878</v>
      </c>
      <c r="B131" s="609">
        <v>1</v>
      </c>
      <c r="C131" s="812">
        <v>8000</v>
      </c>
      <c r="D131" s="598" t="s">
        <v>806</v>
      </c>
      <c r="E131" s="600"/>
      <c r="F131" s="600"/>
      <c r="G131" s="600"/>
      <c r="H131" s="600"/>
      <c r="I131" s="600"/>
      <c r="J131" s="600"/>
      <c r="K131" s="600"/>
      <c r="L131" s="600"/>
      <c r="M131" s="600"/>
      <c r="N131" s="605"/>
      <c r="O131" s="605"/>
      <c r="P131" s="812">
        <f t="shared" si="0"/>
        <v>8000</v>
      </c>
      <c r="Q131" s="600"/>
      <c r="R131" s="599"/>
      <c r="S131" s="599"/>
      <c r="T131" s="600"/>
      <c r="U131" s="600"/>
      <c r="V131" s="600"/>
      <c r="W131" s="600"/>
      <c r="X131" s="600"/>
      <c r="Y131" s="600"/>
      <c r="Z131" s="600"/>
      <c r="AA131" s="811"/>
    </row>
    <row r="132" spans="1:27" ht="51" customHeight="1">
      <c r="A132" s="604" t="s">
        <v>879</v>
      </c>
      <c r="B132" s="609">
        <v>3</v>
      </c>
      <c r="C132" s="607">
        <v>5000</v>
      </c>
      <c r="D132" s="598" t="s">
        <v>808</v>
      </c>
      <c r="E132" s="600"/>
      <c r="F132" s="600"/>
      <c r="G132" s="600"/>
      <c r="H132" s="600"/>
      <c r="I132" s="600"/>
      <c r="J132" s="600"/>
      <c r="K132" s="600"/>
      <c r="L132" s="600"/>
      <c r="M132" s="600"/>
      <c r="N132" s="605"/>
      <c r="O132" s="605"/>
      <c r="P132" s="812">
        <f t="shared" si="0"/>
        <v>15000</v>
      </c>
      <c r="Q132" s="600"/>
      <c r="R132" s="599"/>
      <c r="S132" s="599"/>
      <c r="T132" s="600"/>
      <c r="U132" s="600"/>
      <c r="V132" s="600"/>
      <c r="W132" s="600"/>
      <c r="X132" s="600"/>
      <c r="Y132" s="600"/>
      <c r="Z132" s="600"/>
      <c r="AA132" s="811"/>
    </row>
    <row r="133" spans="1:27" ht="51" customHeight="1">
      <c r="A133" s="604" t="s">
        <v>874</v>
      </c>
      <c r="B133" s="609">
        <v>1</v>
      </c>
      <c r="C133" s="607">
        <v>5500</v>
      </c>
      <c r="D133" s="598" t="s">
        <v>808</v>
      </c>
      <c r="E133" s="600"/>
      <c r="F133" s="600"/>
      <c r="G133" s="600"/>
      <c r="H133" s="600"/>
      <c r="I133" s="600"/>
      <c r="J133" s="600"/>
      <c r="K133" s="600"/>
      <c r="L133" s="600"/>
      <c r="M133" s="600"/>
      <c r="N133" s="605"/>
      <c r="O133" s="605"/>
      <c r="P133" s="812">
        <f t="shared" si="0"/>
        <v>5500</v>
      </c>
      <c r="Q133" s="600"/>
      <c r="R133" s="599"/>
      <c r="S133" s="599"/>
      <c r="T133" s="600"/>
      <c r="U133" s="600"/>
      <c r="V133" s="600"/>
      <c r="W133" s="600"/>
      <c r="X133" s="600"/>
      <c r="Y133" s="600"/>
      <c r="Z133" s="600"/>
      <c r="AA133" s="811"/>
    </row>
    <row r="134" spans="1:27" ht="51" customHeight="1">
      <c r="A134" s="604" t="s">
        <v>879</v>
      </c>
      <c r="B134" s="609">
        <v>1</v>
      </c>
      <c r="C134" s="607">
        <v>5600</v>
      </c>
      <c r="D134" s="598" t="s">
        <v>808</v>
      </c>
      <c r="E134" s="600"/>
      <c r="F134" s="600"/>
      <c r="G134" s="600"/>
      <c r="H134" s="600"/>
      <c r="I134" s="600"/>
      <c r="J134" s="600"/>
      <c r="K134" s="600"/>
      <c r="L134" s="600"/>
      <c r="M134" s="600"/>
      <c r="N134" s="605"/>
      <c r="O134" s="605"/>
      <c r="P134" s="812">
        <f t="shared" si="0"/>
        <v>5600</v>
      </c>
      <c r="Q134" s="600"/>
      <c r="R134" s="599"/>
      <c r="S134" s="599"/>
      <c r="T134" s="600"/>
      <c r="U134" s="600"/>
      <c r="V134" s="600"/>
      <c r="W134" s="600"/>
      <c r="X134" s="600"/>
      <c r="Y134" s="600"/>
      <c r="Z134" s="600"/>
      <c r="AA134" s="811"/>
    </row>
    <row r="135" spans="1:27" ht="51" customHeight="1">
      <c r="A135" s="604" t="s">
        <v>880</v>
      </c>
      <c r="B135" s="609">
        <v>2</v>
      </c>
      <c r="C135" s="607">
        <v>10000</v>
      </c>
      <c r="D135" s="598" t="s">
        <v>808</v>
      </c>
      <c r="E135" s="600"/>
      <c r="F135" s="600"/>
      <c r="G135" s="600"/>
      <c r="H135" s="600"/>
      <c r="I135" s="600"/>
      <c r="J135" s="600"/>
      <c r="K135" s="600"/>
      <c r="L135" s="600"/>
      <c r="M135" s="600"/>
      <c r="N135" s="605"/>
      <c r="O135" s="605"/>
      <c r="P135" s="812">
        <f t="shared" si="0"/>
        <v>20000</v>
      </c>
      <c r="Q135" s="600"/>
      <c r="R135" s="599"/>
      <c r="S135" s="599"/>
      <c r="T135" s="600"/>
      <c r="U135" s="600"/>
      <c r="V135" s="600"/>
      <c r="W135" s="600"/>
      <c r="X135" s="600"/>
      <c r="Y135" s="600"/>
      <c r="Z135" s="600"/>
      <c r="AA135" s="811"/>
    </row>
    <row r="136" spans="1:27" ht="51" customHeight="1">
      <c r="A136" s="604" t="s">
        <v>880</v>
      </c>
      <c r="B136" s="609">
        <v>1</v>
      </c>
      <c r="C136" s="607">
        <v>9000</v>
      </c>
      <c r="D136" s="598" t="s">
        <v>808</v>
      </c>
      <c r="E136" s="600"/>
      <c r="F136" s="600"/>
      <c r="G136" s="600"/>
      <c r="H136" s="600"/>
      <c r="I136" s="600"/>
      <c r="J136" s="600"/>
      <c r="K136" s="600"/>
      <c r="L136" s="600"/>
      <c r="M136" s="600"/>
      <c r="N136" s="605"/>
      <c r="O136" s="605"/>
      <c r="P136" s="812">
        <f t="shared" si="0"/>
        <v>9000</v>
      </c>
      <c r="Q136" s="600"/>
      <c r="R136" s="599"/>
      <c r="S136" s="599"/>
      <c r="T136" s="600"/>
      <c r="U136" s="600"/>
      <c r="V136" s="600"/>
      <c r="W136" s="600"/>
      <c r="X136" s="600"/>
      <c r="Y136" s="600"/>
      <c r="Z136" s="600"/>
      <c r="AA136" s="811"/>
    </row>
    <row r="137" spans="1:27" ht="51" customHeight="1">
      <c r="A137" s="604" t="s">
        <v>879</v>
      </c>
      <c r="B137" s="609">
        <v>6</v>
      </c>
      <c r="C137" s="607">
        <v>9000</v>
      </c>
      <c r="D137" s="598" t="s">
        <v>808</v>
      </c>
      <c r="E137" s="600"/>
      <c r="F137" s="600"/>
      <c r="G137" s="600"/>
      <c r="H137" s="600"/>
      <c r="I137" s="600"/>
      <c r="J137" s="600"/>
      <c r="K137" s="600"/>
      <c r="L137" s="600"/>
      <c r="M137" s="600"/>
      <c r="N137" s="605"/>
      <c r="O137" s="605"/>
      <c r="P137" s="812">
        <f t="shared" si="0"/>
        <v>54000</v>
      </c>
      <c r="Q137" s="600"/>
      <c r="R137" s="599"/>
      <c r="S137" s="599"/>
      <c r="T137" s="600"/>
      <c r="U137" s="600"/>
      <c r="V137" s="600"/>
      <c r="W137" s="600"/>
      <c r="X137" s="600"/>
      <c r="Y137" s="600"/>
      <c r="Z137" s="600"/>
      <c r="AA137" s="811"/>
    </row>
    <row r="138" spans="1:27" ht="51" customHeight="1">
      <c r="A138" s="604" t="s">
        <v>879</v>
      </c>
      <c r="B138" s="609">
        <v>1</v>
      </c>
      <c r="C138" s="607">
        <v>9500</v>
      </c>
      <c r="D138" s="598" t="s">
        <v>808</v>
      </c>
      <c r="E138" s="600"/>
      <c r="F138" s="600"/>
      <c r="G138" s="600"/>
      <c r="H138" s="600"/>
      <c r="I138" s="600"/>
      <c r="J138" s="600"/>
      <c r="K138" s="600"/>
      <c r="L138" s="600"/>
      <c r="M138" s="600"/>
      <c r="N138" s="605"/>
      <c r="O138" s="605"/>
      <c r="P138" s="812">
        <f t="shared" si="0"/>
        <v>9500</v>
      </c>
      <c r="Q138" s="600"/>
      <c r="R138" s="599"/>
      <c r="S138" s="599"/>
      <c r="T138" s="600"/>
      <c r="U138" s="600"/>
      <c r="V138" s="600"/>
      <c r="W138" s="600"/>
      <c r="X138" s="600"/>
      <c r="Y138" s="600"/>
      <c r="Z138" s="600"/>
      <c r="AA138" s="811"/>
    </row>
    <row r="139" spans="1:27" ht="51" customHeight="1">
      <c r="A139" s="604" t="s">
        <v>881</v>
      </c>
      <c r="B139" s="609">
        <v>1</v>
      </c>
      <c r="C139" s="607">
        <v>11000</v>
      </c>
      <c r="D139" s="598" t="s">
        <v>808</v>
      </c>
      <c r="E139" s="600"/>
      <c r="F139" s="600"/>
      <c r="G139" s="600"/>
      <c r="H139" s="600"/>
      <c r="I139" s="600"/>
      <c r="J139" s="600"/>
      <c r="K139" s="600"/>
      <c r="L139" s="600"/>
      <c r="M139" s="600"/>
      <c r="N139" s="605"/>
      <c r="O139" s="605"/>
      <c r="P139" s="812">
        <f t="shared" si="0"/>
        <v>11000</v>
      </c>
      <c r="Q139" s="600"/>
      <c r="R139" s="599"/>
      <c r="S139" s="599"/>
      <c r="T139" s="600"/>
      <c r="U139" s="600"/>
      <c r="V139" s="600"/>
      <c r="W139" s="600"/>
      <c r="X139" s="600"/>
      <c r="Y139" s="600"/>
      <c r="Z139" s="600"/>
      <c r="AA139" s="811"/>
    </row>
    <row r="140" spans="1:27" ht="51" customHeight="1">
      <c r="A140" s="604" t="s">
        <v>882</v>
      </c>
      <c r="B140" s="609">
        <v>1</v>
      </c>
      <c r="C140" s="607">
        <v>11000</v>
      </c>
      <c r="D140" s="598" t="s">
        <v>808</v>
      </c>
      <c r="E140" s="600"/>
      <c r="F140" s="600"/>
      <c r="G140" s="600"/>
      <c r="H140" s="600"/>
      <c r="I140" s="600"/>
      <c r="J140" s="600"/>
      <c r="K140" s="600"/>
      <c r="L140" s="600"/>
      <c r="M140" s="600"/>
      <c r="N140" s="605"/>
      <c r="O140" s="605"/>
      <c r="P140" s="812">
        <f t="shared" si="0"/>
        <v>11000</v>
      </c>
      <c r="Q140" s="600"/>
      <c r="R140" s="599"/>
      <c r="S140" s="599"/>
      <c r="T140" s="600"/>
      <c r="U140" s="600"/>
      <c r="V140" s="600"/>
      <c r="W140" s="600"/>
      <c r="X140" s="600"/>
      <c r="Y140" s="600"/>
      <c r="Z140" s="600"/>
      <c r="AA140" s="811"/>
    </row>
    <row r="141" spans="1:27" ht="51" customHeight="1">
      <c r="A141" s="608" t="s">
        <v>883</v>
      </c>
      <c r="B141" s="609">
        <v>1</v>
      </c>
      <c r="C141" s="812">
        <v>4000</v>
      </c>
      <c r="D141" s="598" t="s">
        <v>807</v>
      </c>
      <c r="E141" s="600"/>
      <c r="F141" s="600"/>
      <c r="G141" s="600"/>
      <c r="H141" s="600"/>
      <c r="I141" s="600"/>
      <c r="J141" s="600"/>
      <c r="K141" s="600"/>
      <c r="L141" s="600"/>
      <c r="M141" s="600"/>
      <c r="N141" s="605"/>
      <c r="O141" s="605"/>
      <c r="P141" s="812">
        <f t="shared" si="0"/>
        <v>4000</v>
      </c>
      <c r="Q141" s="600"/>
      <c r="R141" s="599"/>
      <c r="S141" s="599"/>
      <c r="T141" s="600"/>
      <c r="U141" s="600"/>
      <c r="V141" s="600"/>
      <c r="W141" s="600"/>
      <c r="X141" s="600"/>
      <c r="Y141" s="600"/>
      <c r="Z141" s="600"/>
      <c r="AA141" s="811"/>
    </row>
    <row r="142" spans="1:27" ht="51" customHeight="1">
      <c r="A142" s="608" t="s">
        <v>1372</v>
      </c>
      <c r="B142" s="609">
        <v>2</v>
      </c>
      <c r="C142" s="812">
        <v>4500</v>
      </c>
      <c r="D142" s="598" t="s">
        <v>807</v>
      </c>
      <c r="E142" s="600"/>
      <c r="F142" s="600"/>
      <c r="G142" s="600"/>
      <c r="H142" s="600"/>
      <c r="I142" s="600"/>
      <c r="J142" s="600"/>
      <c r="K142" s="600"/>
      <c r="L142" s="600"/>
      <c r="M142" s="600"/>
      <c r="N142" s="605"/>
      <c r="O142" s="605"/>
      <c r="P142" s="812">
        <f t="shared" si="0"/>
        <v>9000</v>
      </c>
      <c r="Q142" s="600"/>
      <c r="R142" s="599"/>
      <c r="S142" s="599"/>
      <c r="T142" s="600"/>
      <c r="U142" s="600"/>
      <c r="V142" s="600"/>
      <c r="W142" s="600"/>
      <c r="X142" s="600"/>
      <c r="Y142" s="600"/>
      <c r="Z142" s="600"/>
      <c r="AA142" s="811"/>
    </row>
    <row r="143" spans="1:27" ht="51" customHeight="1">
      <c r="A143" s="608" t="s">
        <v>883</v>
      </c>
      <c r="B143" s="609">
        <v>1</v>
      </c>
      <c r="C143" s="812">
        <v>5000</v>
      </c>
      <c r="D143" s="598" t="s">
        <v>807</v>
      </c>
      <c r="E143" s="600"/>
      <c r="F143" s="600"/>
      <c r="G143" s="600"/>
      <c r="H143" s="600"/>
      <c r="I143" s="600"/>
      <c r="J143" s="600"/>
      <c r="K143" s="600"/>
      <c r="L143" s="600"/>
      <c r="M143" s="600"/>
      <c r="N143" s="605"/>
      <c r="O143" s="605"/>
      <c r="P143" s="812">
        <f t="shared" ref="P143:P145" si="1">+C143*B143</f>
        <v>5000</v>
      </c>
      <c r="Q143" s="600"/>
      <c r="R143" s="599"/>
      <c r="S143" s="599"/>
      <c r="T143" s="600"/>
      <c r="U143" s="600"/>
      <c r="V143" s="600"/>
      <c r="W143" s="600"/>
      <c r="X143" s="600"/>
      <c r="Y143" s="600"/>
      <c r="Z143" s="600"/>
      <c r="AA143" s="811"/>
    </row>
    <row r="144" spans="1:27" ht="51" customHeight="1">
      <c r="A144" s="608" t="s">
        <v>883</v>
      </c>
      <c r="B144" s="609">
        <v>1</v>
      </c>
      <c r="C144" s="812">
        <v>5500</v>
      </c>
      <c r="D144" s="598" t="s">
        <v>807</v>
      </c>
      <c r="E144" s="600"/>
      <c r="F144" s="600"/>
      <c r="G144" s="600"/>
      <c r="H144" s="600"/>
      <c r="I144" s="600"/>
      <c r="J144" s="600"/>
      <c r="K144" s="600"/>
      <c r="L144" s="600"/>
      <c r="M144" s="600"/>
      <c r="N144" s="605"/>
      <c r="O144" s="605"/>
      <c r="P144" s="812">
        <f t="shared" si="1"/>
        <v>5500</v>
      </c>
      <c r="Q144" s="600"/>
      <c r="R144" s="599"/>
      <c r="S144" s="599"/>
      <c r="T144" s="600"/>
      <c r="U144" s="600"/>
      <c r="V144" s="600"/>
      <c r="W144" s="600"/>
      <c r="X144" s="600"/>
      <c r="Y144" s="600"/>
      <c r="Z144" s="600"/>
      <c r="AA144" s="811"/>
    </row>
    <row r="145" spans="1:27" ht="51" customHeight="1">
      <c r="A145" s="608" t="s">
        <v>1372</v>
      </c>
      <c r="B145" s="609">
        <v>2</v>
      </c>
      <c r="C145" s="812">
        <v>6000</v>
      </c>
      <c r="D145" s="598" t="s">
        <v>807</v>
      </c>
      <c r="E145" s="600"/>
      <c r="F145" s="600"/>
      <c r="G145" s="600"/>
      <c r="H145" s="600"/>
      <c r="I145" s="600"/>
      <c r="J145" s="600"/>
      <c r="K145" s="600"/>
      <c r="L145" s="600"/>
      <c r="M145" s="600"/>
      <c r="N145" s="605"/>
      <c r="O145" s="605"/>
      <c r="P145" s="812">
        <f t="shared" si="1"/>
        <v>12000</v>
      </c>
      <c r="Q145" s="600"/>
      <c r="R145" s="599"/>
      <c r="S145" s="599"/>
      <c r="T145" s="600"/>
      <c r="U145" s="600"/>
      <c r="V145" s="600"/>
      <c r="W145" s="600"/>
      <c r="X145" s="600"/>
      <c r="Y145" s="600"/>
      <c r="Z145" s="600"/>
      <c r="AA145" s="811"/>
    </row>
    <row r="146" spans="1:27" ht="51" customHeight="1">
      <c r="A146" s="608" t="s">
        <v>959</v>
      </c>
      <c r="B146" s="609"/>
      <c r="C146" s="605"/>
      <c r="D146" s="598" t="s">
        <v>808</v>
      </c>
      <c r="E146" s="600"/>
      <c r="F146" s="600"/>
      <c r="G146" s="600"/>
      <c r="H146" s="600"/>
      <c r="I146" s="600"/>
      <c r="J146" s="600"/>
      <c r="K146" s="600"/>
      <c r="L146" s="600"/>
      <c r="M146" s="600"/>
      <c r="N146" s="605"/>
      <c r="O146" s="605"/>
      <c r="P146" s="813"/>
      <c r="Q146" s="600"/>
      <c r="R146" s="599"/>
      <c r="S146" s="599"/>
      <c r="T146" s="600"/>
      <c r="U146" s="600">
        <v>125000</v>
      </c>
      <c r="V146" s="599"/>
      <c r="W146" s="599"/>
      <c r="X146" s="600"/>
      <c r="Y146" s="600"/>
      <c r="Z146" s="600"/>
      <c r="AA146" s="811"/>
    </row>
    <row r="147" spans="1:27" ht="51" customHeight="1">
      <c r="A147" s="608" t="s">
        <v>960</v>
      </c>
      <c r="B147" s="609"/>
      <c r="C147" s="605"/>
      <c r="D147" s="598" t="s">
        <v>808</v>
      </c>
      <c r="E147" s="600"/>
      <c r="F147" s="600"/>
      <c r="G147" s="600"/>
      <c r="H147" s="600"/>
      <c r="I147" s="600"/>
      <c r="J147" s="600"/>
      <c r="K147" s="600"/>
      <c r="L147" s="600"/>
      <c r="M147" s="600"/>
      <c r="N147" s="605"/>
      <c r="O147" s="605"/>
      <c r="P147" s="812" t="s">
        <v>24</v>
      </c>
      <c r="Q147" s="600"/>
      <c r="R147" s="597"/>
      <c r="S147" s="599"/>
      <c r="T147" s="600"/>
      <c r="U147" s="600"/>
      <c r="V147" s="597">
        <v>125000</v>
      </c>
      <c r="W147" s="599"/>
      <c r="X147" s="600"/>
      <c r="Y147" s="600"/>
      <c r="Z147" s="600"/>
      <c r="AA147" s="811"/>
    </row>
    <row r="148" spans="1:27" ht="51" customHeight="1">
      <c r="A148" s="608" t="s">
        <v>961</v>
      </c>
      <c r="B148" s="609"/>
      <c r="C148" s="605"/>
      <c r="D148" s="598" t="s">
        <v>808</v>
      </c>
      <c r="E148" s="600"/>
      <c r="F148" s="600"/>
      <c r="G148" s="600"/>
      <c r="H148" s="600"/>
      <c r="I148" s="600"/>
      <c r="J148" s="600"/>
      <c r="K148" s="600"/>
      <c r="L148" s="600"/>
      <c r="M148" s="600"/>
      <c r="N148" s="605"/>
      <c r="O148" s="605"/>
      <c r="P148" s="605"/>
      <c r="Q148" s="600"/>
      <c r="R148" s="599"/>
      <c r="S148" s="597"/>
      <c r="T148" s="600"/>
      <c r="U148" s="600"/>
      <c r="V148" s="599"/>
      <c r="W148" s="597">
        <v>100000</v>
      </c>
      <c r="X148" s="597"/>
      <c r="Y148" s="600"/>
      <c r="Z148" s="600"/>
      <c r="AA148" s="811"/>
    </row>
    <row r="149" spans="1:27" ht="51" customHeight="1">
      <c r="A149" s="608" t="s">
        <v>962</v>
      </c>
      <c r="B149" s="609"/>
      <c r="C149" s="605"/>
      <c r="D149" s="598" t="s">
        <v>808</v>
      </c>
      <c r="E149" s="600"/>
      <c r="F149" s="600"/>
      <c r="G149" s="600"/>
      <c r="H149" s="600"/>
      <c r="I149" s="600"/>
      <c r="J149" s="600"/>
      <c r="K149" s="600"/>
      <c r="L149" s="600"/>
      <c r="M149" s="600"/>
      <c r="N149" s="605"/>
      <c r="O149" s="605"/>
      <c r="P149" s="605"/>
      <c r="Q149" s="600"/>
      <c r="R149" s="599"/>
      <c r="S149" s="599"/>
      <c r="T149" s="600"/>
      <c r="U149" s="600"/>
      <c r="V149" s="600"/>
      <c r="W149" s="600"/>
      <c r="X149" s="597">
        <v>300000</v>
      </c>
      <c r="Y149" s="600"/>
      <c r="Z149" s="600"/>
      <c r="AA149" s="811"/>
    </row>
    <row r="150" spans="1:27" ht="51" customHeight="1">
      <c r="A150" s="608" t="s">
        <v>963</v>
      </c>
      <c r="B150" s="609"/>
      <c r="C150" s="605"/>
      <c r="D150" s="598" t="s">
        <v>808</v>
      </c>
      <c r="E150" s="600"/>
      <c r="F150" s="600"/>
      <c r="G150" s="600"/>
      <c r="H150" s="600"/>
      <c r="I150" s="600"/>
      <c r="J150" s="600"/>
      <c r="K150" s="600"/>
      <c r="L150" s="600"/>
      <c r="M150" s="600"/>
      <c r="N150" s="605"/>
      <c r="O150" s="605"/>
      <c r="P150" s="605"/>
      <c r="Q150" s="600"/>
      <c r="R150" s="599"/>
      <c r="S150" s="599"/>
      <c r="T150" s="600"/>
      <c r="U150" s="600"/>
      <c r="V150" s="600"/>
      <c r="W150" s="600"/>
      <c r="X150" s="600"/>
      <c r="Y150" s="597">
        <v>5000000</v>
      </c>
      <c r="Z150" s="600"/>
      <c r="AA150" s="811"/>
    </row>
    <row r="151" spans="1:27" ht="51" customHeight="1">
      <c r="A151" s="608" t="s">
        <v>964</v>
      </c>
      <c r="B151" s="609"/>
      <c r="C151" s="605"/>
      <c r="D151" s="598" t="s">
        <v>808</v>
      </c>
      <c r="E151" s="600"/>
      <c r="F151" s="600"/>
      <c r="G151" s="600"/>
      <c r="H151" s="600"/>
      <c r="I151" s="600"/>
      <c r="J151" s="600"/>
      <c r="K151" s="600"/>
      <c r="L151" s="600"/>
      <c r="M151" s="600"/>
      <c r="N151" s="605"/>
      <c r="O151" s="605"/>
      <c r="P151" s="605"/>
      <c r="Q151" s="600"/>
      <c r="R151" s="599"/>
      <c r="S151" s="599"/>
      <c r="T151" s="600"/>
      <c r="U151" s="600"/>
      <c r="V151" s="600"/>
      <c r="W151" s="600"/>
      <c r="X151" s="600"/>
      <c r="Y151" s="600"/>
      <c r="Z151" s="597">
        <v>3000000</v>
      </c>
      <c r="AA151" s="811"/>
    </row>
    <row r="152" spans="1:27" ht="51" customHeight="1" thickBot="1">
      <c r="A152" s="804" t="s">
        <v>1373</v>
      </c>
      <c r="B152" s="805"/>
      <c r="C152" s="806"/>
      <c r="D152" s="807">
        <v>0</v>
      </c>
      <c r="E152" s="808"/>
      <c r="F152" s="808"/>
      <c r="G152" s="808"/>
      <c r="H152" s="808"/>
      <c r="I152" s="808"/>
      <c r="J152" s="808"/>
      <c r="K152" s="808"/>
      <c r="L152" s="808"/>
      <c r="M152" s="808"/>
      <c r="N152" s="806"/>
      <c r="O152" s="806"/>
      <c r="P152" s="806"/>
      <c r="Q152" s="808"/>
      <c r="R152" s="809"/>
      <c r="S152" s="809"/>
      <c r="T152" s="808"/>
      <c r="U152" s="808"/>
      <c r="V152" s="808"/>
      <c r="W152" s="808"/>
      <c r="X152" s="808"/>
      <c r="Y152" s="808"/>
      <c r="Z152" s="814"/>
      <c r="AA152" s="815">
        <v>10000000</v>
      </c>
    </row>
    <row r="153" spans="1:27" ht="13.5" thickBot="1">
      <c r="A153" s="610"/>
      <c r="B153" s="611">
        <v>208</v>
      </c>
      <c r="C153" s="820" t="s">
        <v>811</v>
      </c>
      <c r="D153" s="821"/>
      <c r="E153" s="612">
        <v>145627</v>
      </c>
      <c r="F153" s="612">
        <v>13475</v>
      </c>
      <c r="G153" s="612">
        <v>885</v>
      </c>
      <c r="H153" s="612">
        <v>2250</v>
      </c>
      <c r="I153" s="612">
        <v>57500</v>
      </c>
      <c r="J153" s="612">
        <v>86006</v>
      </c>
      <c r="K153" s="612">
        <v>392800</v>
      </c>
      <c r="L153" s="612">
        <v>7500</v>
      </c>
      <c r="M153" s="612">
        <v>43000</v>
      </c>
      <c r="N153" s="612">
        <v>787977</v>
      </c>
      <c r="O153" s="612">
        <v>90000</v>
      </c>
      <c r="P153" s="613">
        <v>809350</v>
      </c>
      <c r="Q153" s="614">
        <v>72000</v>
      </c>
      <c r="R153" s="612">
        <v>464046.5</v>
      </c>
      <c r="S153" s="612">
        <v>809837</v>
      </c>
      <c r="T153" s="615">
        <v>22200</v>
      </c>
      <c r="U153" s="615">
        <v>125000</v>
      </c>
      <c r="V153" s="615">
        <v>125000</v>
      </c>
      <c r="W153" s="615">
        <v>100000</v>
      </c>
      <c r="X153" s="615">
        <f>+X149</f>
        <v>300000</v>
      </c>
      <c r="Y153" s="615">
        <f>+Y150</f>
        <v>5000000</v>
      </c>
      <c r="Z153" s="616">
        <f>+Z151</f>
        <v>3000000</v>
      </c>
      <c r="AA153" s="816">
        <f>+AA152</f>
        <v>10000000</v>
      </c>
    </row>
    <row r="154" spans="1:27" ht="13.5" thickBot="1">
      <c r="A154" s="822" t="s">
        <v>812</v>
      </c>
      <c r="B154" s="823"/>
      <c r="C154" s="823"/>
      <c r="D154" s="824"/>
      <c r="E154" s="817">
        <f t="shared" ref="E154:M154" si="2">+E153*12</f>
        <v>1747524</v>
      </c>
      <c r="F154" s="817">
        <f t="shared" si="2"/>
        <v>161700</v>
      </c>
      <c r="G154" s="817">
        <f t="shared" si="2"/>
        <v>10620</v>
      </c>
      <c r="H154" s="817">
        <f t="shared" si="2"/>
        <v>27000</v>
      </c>
      <c r="I154" s="817">
        <f t="shared" si="2"/>
        <v>690000</v>
      </c>
      <c r="J154" s="817">
        <f t="shared" si="2"/>
        <v>1032072</v>
      </c>
      <c r="K154" s="817">
        <f t="shared" si="2"/>
        <v>4713600</v>
      </c>
      <c r="L154" s="817">
        <f t="shared" si="2"/>
        <v>90000</v>
      </c>
      <c r="M154" s="817">
        <f t="shared" si="2"/>
        <v>516000</v>
      </c>
      <c r="N154" s="817">
        <f>+N153</f>
        <v>787977</v>
      </c>
      <c r="O154" s="817">
        <f>+O153</f>
        <v>90000</v>
      </c>
      <c r="P154" s="817">
        <f>SUM(P77:P145)*12</f>
        <v>10005600</v>
      </c>
      <c r="Q154" s="817">
        <f>+Q153*12</f>
        <v>864000</v>
      </c>
      <c r="R154" s="817">
        <f>+R153</f>
        <v>464046.5</v>
      </c>
      <c r="S154" s="817">
        <f t="shared" ref="S154:Z154" si="3">+S153</f>
        <v>809837</v>
      </c>
      <c r="T154" s="817">
        <f t="shared" si="3"/>
        <v>22200</v>
      </c>
      <c r="U154" s="817">
        <f t="shared" si="3"/>
        <v>125000</v>
      </c>
      <c r="V154" s="817">
        <f t="shared" si="3"/>
        <v>125000</v>
      </c>
      <c r="W154" s="817">
        <f t="shared" si="3"/>
        <v>100000</v>
      </c>
      <c r="X154" s="817">
        <f t="shared" si="3"/>
        <v>300000</v>
      </c>
      <c r="Y154" s="817">
        <f t="shared" si="3"/>
        <v>5000000</v>
      </c>
      <c r="Z154" s="817">
        <f t="shared" si="3"/>
        <v>3000000</v>
      </c>
      <c r="AA154" s="817">
        <f>+AA153</f>
        <v>10000000</v>
      </c>
    </row>
    <row r="155" spans="1:27" ht="15.75" customHeight="1" thickBot="1">
      <c r="A155" s="825" t="s">
        <v>85</v>
      </c>
      <c r="B155" s="826"/>
      <c r="C155" s="826"/>
      <c r="D155" s="826"/>
      <c r="E155" s="826"/>
      <c r="F155" s="826"/>
      <c r="G155" s="826"/>
      <c r="H155" s="826"/>
      <c r="I155" s="826"/>
      <c r="J155" s="826"/>
      <c r="K155" s="826"/>
      <c r="L155" s="826"/>
      <c r="M155" s="826"/>
      <c r="N155" s="826"/>
      <c r="O155" s="826"/>
      <c r="P155" s="826"/>
      <c r="Q155" s="826"/>
      <c r="R155" s="826"/>
      <c r="S155" s="826"/>
      <c r="T155" s="826"/>
      <c r="U155" s="826"/>
      <c r="V155" s="826"/>
      <c r="W155" s="826"/>
      <c r="X155" s="826"/>
      <c r="Y155" s="826"/>
      <c r="Z155" s="827"/>
      <c r="AA155" s="685">
        <f>SUM(E154:AA154)</f>
        <v>40682176.5</v>
      </c>
    </row>
    <row r="156" spans="1:27">
      <c r="A156" s="617"/>
      <c r="B156" s="618"/>
      <c r="C156" s="175"/>
      <c r="D156" s="23"/>
      <c r="E156" s="175"/>
      <c r="F156" s="175"/>
      <c r="G156" s="175"/>
      <c r="H156" s="175"/>
      <c r="I156" s="175"/>
      <c r="J156" s="175"/>
      <c r="K156" s="175"/>
      <c r="L156" s="175"/>
      <c r="M156" s="175"/>
      <c r="N156" s="175"/>
      <c r="O156" s="175"/>
      <c r="P156" s="175"/>
      <c r="Q156" s="175"/>
      <c r="R156" s="175"/>
      <c r="S156" s="175"/>
      <c r="T156" s="175"/>
      <c r="U156" s="175"/>
    </row>
    <row r="157" spans="1:27" s="817" customFormat="1" hidden="1">
      <c r="A157" s="818"/>
      <c r="AA157" s="817" t="s">
        <v>24</v>
      </c>
    </row>
    <row r="158" spans="1:27" hidden="1">
      <c r="T158" s="620"/>
    </row>
    <row r="159" spans="1:27" hidden="1">
      <c r="Q159" s="150" t="s">
        <v>1374</v>
      </c>
      <c r="T159" s="620"/>
    </row>
    <row r="160" spans="1:27" hidden="1">
      <c r="N160" s="150">
        <v>1</v>
      </c>
      <c r="O160" s="819">
        <v>5921236</v>
      </c>
      <c r="P160" s="817">
        <f>SUM(P77:P116)</f>
        <v>568850</v>
      </c>
      <c r="Q160" s="817">
        <f>+P160*12</f>
        <v>6826200</v>
      </c>
      <c r="R160" s="817">
        <f>+O160-Q160</f>
        <v>-904964</v>
      </c>
      <c r="T160" s="620"/>
    </row>
    <row r="161" spans="1:20" hidden="1">
      <c r="A161" s="150"/>
      <c r="N161" s="150">
        <v>2</v>
      </c>
      <c r="O161" s="819">
        <v>1366800</v>
      </c>
      <c r="P161" s="817">
        <f>SUM(P117:P131)</f>
        <v>88850</v>
      </c>
      <c r="Q161" s="817">
        <f t="shared" ref="Q161:Q163" si="4">+P161*12</f>
        <v>1066200</v>
      </c>
      <c r="R161" s="817">
        <f t="shared" ref="R161:R163" si="5">+O161-Q161</f>
        <v>300600</v>
      </c>
      <c r="T161" s="620"/>
    </row>
    <row r="162" spans="1:20" hidden="1">
      <c r="A162" s="150"/>
      <c r="N162" s="150">
        <v>3</v>
      </c>
      <c r="O162" s="819">
        <v>1519200</v>
      </c>
      <c r="P162" s="817">
        <f>SUM(P132:P140)</f>
        <v>140600</v>
      </c>
      <c r="Q162" s="817">
        <f t="shared" si="4"/>
        <v>1687200</v>
      </c>
      <c r="R162" s="817">
        <f t="shared" si="5"/>
        <v>-168000</v>
      </c>
      <c r="T162" s="620"/>
    </row>
    <row r="163" spans="1:20" hidden="1">
      <c r="A163" s="150"/>
      <c r="N163" s="150">
        <v>4</v>
      </c>
      <c r="O163" s="819">
        <v>426000</v>
      </c>
      <c r="P163" s="817">
        <f>SUM(P141:P145)</f>
        <v>35500</v>
      </c>
      <c r="Q163" s="817">
        <f t="shared" si="4"/>
        <v>426000</v>
      </c>
      <c r="R163" s="817">
        <f t="shared" si="5"/>
        <v>0</v>
      </c>
      <c r="T163" s="620"/>
    </row>
    <row r="164" spans="1:20" hidden="1">
      <c r="A164" s="150"/>
      <c r="O164" s="817">
        <f>SUM(O160:O163)</f>
        <v>9233236</v>
      </c>
      <c r="P164" s="817">
        <f t="shared" ref="P164:R164" si="6">SUM(P160:P163)</f>
        <v>833800</v>
      </c>
      <c r="Q164" s="817">
        <f t="shared" si="6"/>
        <v>10005600</v>
      </c>
      <c r="R164" s="817">
        <f t="shared" si="6"/>
        <v>-772364</v>
      </c>
      <c r="T164" s="620"/>
    </row>
    <row r="165" spans="1:20" hidden="1">
      <c r="A165" s="150"/>
      <c r="T165" s="620"/>
    </row>
    <row r="166" spans="1:20" hidden="1"/>
    <row r="167" spans="1:20" hidden="1">
      <c r="P167" s="150" t="s">
        <v>24</v>
      </c>
    </row>
  </sheetData>
  <mergeCells count="12">
    <mergeCell ref="C153:D153"/>
    <mergeCell ref="A154:D154"/>
    <mergeCell ref="A155:Z155"/>
    <mergeCell ref="A1:Z1"/>
    <mergeCell ref="A2:T2"/>
    <mergeCell ref="A3:T3"/>
    <mergeCell ref="A4:T4"/>
    <mergeCell ref="A5:A6"/>
    <mergeCell ref="B5:B6"/>
    <mergeCell ref="C5:C6"/>
    <mergeCell ref="D5:D6"/>
    <mergeCell ref="E5:AA5"/>
  </mergeCells>
  <printOptions horizontalCentered="1"/>
  <pageMargins left="0.70866141732283472" right="0.70866141732283472" top="0.74803149606299213" bottom="0.74803149606299213" header="0.31496062992125984" footer="0.31496062992125984"/>
  <pageSetup paperSize="17" scale="3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BreakPreview" zoomScale="60" zoomScaleNormal="100" workbookViewId="0">
      <selection activeCell="J28" sqref="J28"/>
    </sheetView>
  </sheetViews>
  <sheetFormatPr baseColWidth="10" defaultRowHeight="15"/>
  <cols>
    <col min="1" max="1" width="23.5703125" customWidth="1"/>
    <col min="2" max="2" width="14.85546875" customWidth="1"/>
    <col min="3" max="3" width="16.140625" customWidth="1"/>
    <col min="4" max="4" width="18.140625" customWidth="1"/>
    <col min="5" max="5" width="14.85546875" bestFit="1" customWidth="1"/>
    <col min="6" max="7" width="11.5703125" bestFit="1" customWidth="1"/>
    <col min="8" max="8" width="13.28515625" bestFit="1" customWidth="1"/>
    <col min="9" max="10" width="11.5703125" bestFit="1" customWidth="1"/>
    <col min="11" max="11" width="14.85546875" bestFit="1" customWidth="1"/>
    <col min="12" max="12" width="13.28515625" bestFit="1" customWidth="1"/>
    <col min="13" max="13" width="15.7109375" customWidth="1"/>
    <col min="14" max="14" width="20.85546875" customWidth="1"/>
  </cols>
  <sheetData>
    <row r="1" spans="1:14" s="150" customFormat="1" ht="12.75">
      <c r="A1" s="940" t="s">
        <v>25</v>
      </c>
      <c r="B1" s="940"/>
      <c r="C1" s="940"/>
      <c r="D1" s="940"/>
      <c r="E1" s="940"/>
      <c r="F1" s="940"/>
      <c r="G1" s="940"/>
      <c r="H1" s="940"/>
      <c r="I1" s="940"/>
      <c r="J1" s="940"/>
      <c r="K1" s="940"/>
      <c r="L1" s="940"/>
      <c r="M1" s="940"/>
      <c r="N1" s="940"/>
    </row>
    <row r="2" spans="1:14" s="150" customFormat="1" ht="12.75">
      <c r="A2" s="940" t="s">
        <v>26</v>
      </c>
      <c r="B2" s="940"/>
      <c r="C2" s="940"/>
      <c r="D2" s="940"/>
      <c r="E2" s="940"/>
      <c r="F2" s="940"/>
      <c r="G2" s="940"/>
      <c r="H2" s="940"/>
      <c r="I2" s="940"/>
      <c r="J2" s="940"/>
      <c r="K2" s="940"/>
      <c r="L2" s="940"/>
      <c r="M2" s="940"/>
      <c r="N2" s="940"/>
    </row>
    <row r="3" spans="1:14" s="150" customFormat="1" ht="12.75">
      <c r="A3" s="940" t="s">
        <v>884</v>
      </c>
      <c r="B3" s="940"/>
      <c r="C3" s="940"/>
      <c r="D3" s="940"/>
      <c r="E3" s="940"/>
      <c r="F3" s="940"/>
      <c r="G3" s="940"/>
      <c r="H3" s="940"/>
      <c r="I3" s="940"/>
      <c r="J3" s="940"/>
      <c r="K3" s="940"/>
      <c r="L3" s="940"/>
      <c r="M3" s="940"/>
      <c r="N3" s="940"/>
    </row>
    <row r="4" spans="1:14" s="150" customFormat="1" ht="13.5" thickBot="1">
      <c r="A4" s="940" t="s">
        <v>28</v>
      </c>
      <c r="B4" s="940"/>
      <c r="C4" s="940"/>
      <c r="D4" s="940"/>
      <c r="E4" s="940"/>
      <c r="F4" s="940"/>
      <c r="G4" s="940"/>
      <c r="H4" s="940"/>
      <c r="I4" s="940"/>
      <c r="J4" s="940"/>
      <c r="K4" s="940"/>
      <c r="L4" s="940"/>
      <c r="M4" s="940"/>
      <c r="N4" s="940"/>
    </row>
    <row r="5" spans="1:14" s="150" customFormat="1" ht="12.75">
      <c r="A5" s="943" t="s">
        <v>35</v>
      </c>
      <c r="B5" s="941" t="s">
        <v>36</v>
      </c>
      <c r="C5" s="946" t="s">
        <v>37</v>
      </c>
      <c r="D5" s="946" t="s">
        <v>38</v>
      </c>
      <c r="E5" s="941" t="s">
        <v>165</v>
      </c>
      <c r="F5" s="941"/>
      <c r="G5" s="941"/>
      <c r="H5" s="941"/>
      <c r="I5" s="941"/>
      <c r="J5" s="941"/>
      <c r="K5" s="941"/>
      <c r="L5" s="941"/>
      <c r="M5" s="941"/>
      <c r="N5" s="942"/>
    </row>
    <row r="6" spans="1:14" s="150" customFormat="1" ht="13.5" thickBot="1">
      <c r="A6" s="944" t="s">
        <v>29</v>
      </c>
      <c r="B6" s="945"/>
      <c r="C6" s="945"/>
      <c r="D6" s="945" t="s">
        <v>31</v>
      </c>
      <c r="E6" s="178" t="s">
        <v>885</v>
      </c>
      <c r="F6" s="178" t="s">
        <v>886</v>
      </c>
      <c r="G6" s="178" t="s">
        <v>887</v>
      </c>
      <c r="H6" s="178" t="s">
        <v>888</v>
      </c>
      <c r="I6" s="178" t="s">
        <v>889</v>
      </c>
      <c r="J6" s="178" t="s">
        <v>890</v>
      </c>
      <c r="K6" s="178" t="s">
        <v>891</v>
      </c>
      <c r="L6" s="178">
        <v>71</v>
      </c>
      <c r="M6" s="178">
        <v>72</v>
      </c>
      <c r="N6" s="179">
        <v>73</v>
      </c>
    </row>
    <row r="7" spans="1:14" s="149" customFormat="1" ht="22.5">
      <c r="A7" s="707" t="s">
        <v>896</v>
      </c>
      <c r="B7" s="180">
        <v>1</v>
      </c>
      <c r="C7" s="181">
        <v>6539</v>
      </c>
      <c r="D7" s="182" t="s">
        <v>892</v>
      </c>
      <c r="E7" s="182"/>
      <c r="F7" s="181"/>
      <c r="G7" s="181"/>
      <c r="H7" s="181"/>
      <c r="I7" s="181">
        <v>78468</v>
      </c>
      <c r="J7" s="181">
        <v>15000</v>
      </c>
      <c r="K7" s="181"/>
      <c r="L7" s="181">
        <v>7789</v>
      </c>
      <c r="M7" s="181">
        <v>7789</v>
      </c>
      <c r="N7" s="708">
        <v>200</v>
      </c>
    </row>
    <row r="8" spans="1:14" s="149" customFormat="1" ht="22.5">
      <c r="A8" s="3" t="s">
        <v>897</v>
      </c>
      <c r="B8" s="183">
        <v>1</v>
      </c>
      <c r="C8" s="184">
        <v>5000</v>
      </c>
      <c r="D8" s="185" t="s">
        <v>893</v>
      </c>
      <c r="E8" s="184">
        <v>60000</v>
      </c>
      <c r="F8" s="184">
        <v>3000</v>
      </c>
      <c r="G8" s="185"/>
      <c r="H8" s="184">
        <v>12000</v>
      </c>
      <c r="I8" s="185"/>
      <c r="J8" s="184"/>
      <c r="K8" s="184"/>
      <c r="L8" s="184">
        <v>6000</v>
      </c>
      <c r="M8" s="184">
        <v>6000</v>
      </c>
      <c r="N8" s="709">
        <v>200</v>
      </c>
    </row>
    <row r="9" spans="1:14" s="149" customFormat="1" ht="33.75">
      <c r="A9" s="3" t="s">
        <v>898</v>
      </c>
      <c r="B9" s="183">
        <v>1</v>
      </c>
      <c r="C9" s="184">
        <v>5000</v>
      </c>
      <c r="D9" s="185" t="s">
        <v>894</v>
      </c>
      <c r="E9" s="184">
        <v>60000</v>
      </c>
      <c r="F9" s="184">
        <v>3000</v>
      </c>
      <c r="G9" s="184"/>
      <c r="H9" s="184">
        <v>12000</v>
      </c>
      <c r="I9" s="185"/>
      <c r="J9" s="184"/>
      <c r="K9" s="184"/>
      <c r="L9" s="184">
        <v>6000</v>
      </c>
      <c r="M9" s="184">
        <v>6000</v>
      </c>
      <c r="N9" s="709">
        <v>200</v>
      </c>
    </row>
    <row r="10" spans="1:14" s="149" customFormat="1" ht="33.75">
      <c r="A10" s="3" t="s">
        <v>899</v>
      </c>
      <c r="B10" s="183">
        <v>1</v>
      </c>
      <c r="C10" s="184">
        <v>4500</v>
      </c>
      <c r="D10" s="185" t="s">
        <v>894</v>
      </c>
      <c r="E10" s="184">
        <v>54000</v>
      </c>
      <c r="F10" s="184">
        <v>3000</v>
      </c>
      <c r="G10" s="710"/>
      <c r="H10" s="184">
        <v>12000</v>
      </c>
      <c r="I10" s="185"/>
      <c r="J10" s="184"/>
      <c r="K10" s="184"/>
      <c r="L10" s="184">
        <v>5500</v>
      </c>
      <c r="M10" s="184">
        <v>5500</v>
      </c>
      <c r="N10" s="709">
        <v>200</v>
      </c>
    </row>
    <row r="11" spans="1:14" s="149" customFormat="1" ht="22.5">
      <c r="A11" s="3" t="s">
        <v>900</v>
      </c>
      <c r="B11" s="183">
        <v>1</v>
      </c>
      <c r="C11" s="184">
        <v>5000</v>
      </c>
      <c r="D11" s="185" t="s">
        <v>893</v>
      </c>
      <c r="E11" s="184">
        <v>60000</v>
      </c>
      <c r="F11" s="184">
        <v>3000</v>
      </c>
      <c r="G11" s="184"/>
      <c r="H11" s="184">
        <v>12000</v>
      </c>
      <c r="I11" s="185"/>
      <c r="J11" s="184"/>
      <c r="K11" s="184"/>
      <c r="L11" s="184">
        <v>6000</v>
      </c>
      <c r="M11" s="184">
        <v>6000</v>
      </c>
      <c r="N11" s="709">
        <v>200</v>
      </c>
    </row>
    <row r="12" spans="1:14" s="149" customFormat="1" ht="22.5">
      <c r="A12" s="3" t="s">
        <v>901</v>
      </c>
      <c r="B12" s="183">
        <v>1</v>
      </c>
      <c r="C12" s="184">
        <v>5000</v>
      </c>
      <c r="D12" s="185" t="s">
        <v>893</v>
      </c>
      <c r="E12" s="184">
        <v>60000</v>
      </c>
      <c r="F12" s="184">
        <v>3000</v>
      </c>
      <c r="G12" s="184"/>
      <c r="H12" s="184">
        <v>12000</v>
      </c>
      <c r="I12" s="185"/>
      <c r="J12" s="184"/>
      <c r="K12" s="184"/>
      <c r="L12" s="184">
        <v>6000</v>
      </c>
      <c r="M12" s="184">
        <v>6000</v>
      </c>
      <c r="N12" s="709">
        <v>200</v>
      </c>
    </row>
    <row r="13" spans="1:14" s="149" customFormat="1" ht="22.5">
      <c r="A13" s="3" t="s">
        <v>902</v>
      </c>
      <c r="B13" s="183">
        <v>1</v>
      </c>
      <c r="C13" s="184">
        <v>5000</v>
      </c>
      <c r="D13" s="185" t="s">
        <v>893</v>
      </c>
      <c r="E13" s="184">
        <v>60000</v>
      </c>
      <c r="F13" s="184">
        <v>3000</v>
      </c>
      <c r="G13" s="184"/>
      <c r="H13" s="184">
        <v>12000</v>
      </c>
      <c r="I13" s="185"/>
      <c r="J13" s="184"/>
      <c r="K13" s="184"/>
      <c r="L13" s="184">
        <v>6000</v>
      </c>
      <c r="M13" s="184">
        <v>6000</v>
      </c>
      <c r="N13" s="709">
        <v>200</v>
      </c>
    </row>
    <row r="14" spans="1:14" s="149" customFormat="1" ht="22.5">
      <c r="A14" s="3" t="s">
        <v>903</v>
      </c>
      <c r="B14" s="183">
        <v>1</v>
      </c>
      <c r="C14" s="184">
        <v>9000</v>
      </c>
      <c r="D14" s="185" t="s">
        <v>894</v>
      </c>
      <c r="E14" s="184">
        <v>108000</v>
      </c>
      <c r="F14" s="184">
        <v>3000</v>
      </c>
      <c r="G14" s="184">
        <v>4500</v>
      </c>
      <c r="H14" s="184">
        <v>12000</v>
      </c>
      <c r="I14" s="184"/>
      <c r="J14" s="184"/>
      <c r="K14" s="184"/>
      <c r="L14" s="184">
        <v>10375</v>
      </c>
      <c r="M14" s="184">
        <v>10375</v>
      </c>
      <c r="N14" s="709">
        <v>200</v>
      </c>
    </row>
    <row r="15" spans="1:14" s="149" customFormat="1" ht="22.5">
      <c r="A15" s="3" t="s">
        <v>904</v>
      </c>
      <c r="B15" s="183">
        <v>1</v>
      </c>
      <c r="C15" s="184">
        <v>22000</v>
      </c>
      <c r="D15" s="185" t="s">
        <v>894</v>
      </c>
      <c r="E15" s="184">
        <v>264000</v>
      </c>
      <c r="F15" s="184">
        <v>3000</v>
      </c>
      <c r="G15" s="184">
        <v>4500</v>
      </c>
      <c r="H15" s="184">
        <v>12000</v>
      </c>
      <c r="I15" s="184"/>
      <c r="J15" s="184"/>
      <c r="K15" s="184"/>
      <c r="L15" s="184">
        <v>23375</v>
      </c>
      <c r="M15" s="184">
        <v>23375</v>
      </c>
      <c r="N15" s="709">
        <v>200</v>
      </c>
    </row>
    <row r="16" spans="1:14" s="149" customFormat="1" ht="22.5">
      <c r="A16" s="3" t="s">
        <v>905</v>
      </c>
      <c r="B16" s="183">
        <v>1</v>
      </c>
      <c r="C16" s="186">
        <v>9000</v>
      </c>
      <c r="D16" s="185" t="s">
        <v>894</v>
      </c>
      <c r="E16" s="184">
        <v>108000</v>
      </c>
      <c r="F16" s="184">
        <v>3000</v>
      </c>
      <c r="G16" s="184">
        <v>4500</v>
      </c>
      <c r="H16" s="184">
        <v>12000</v>
      </c>
      <c r="I16" s="184"/>
      <c r="J16" s="184"/>
      <c r="K16" s="184"/>
      <c r="L16" s="184">
        <v>10375</v>
      </c>
      <c r="M16" s="184">
        <v>10375</v>
      </c>
      <c r="N16" s="709">
        <v>200</v>
      </c>
    </row>
    <row r="17" spans="1:14" s="149" customFormat="1" ht="22.5">
      <c r="A17" s="3" t="s">
        <v>906</v>
      </c>
      <c r="B17" s="183">
        <v>1</v>
      </c>
      <c r="C17" s="186">
        <v>9000</v>
      </c>
      <c r="D17" s="185" t="s">
        <v>894</v>
      </c>
      <c r="E17" s="184">
        <v>108000</v>
      </c>
      <c r="F17" s="184">
        <v>3000</v>
      </c>
      <c r="G17" s="184">
        <v>4500</v>
      </c>
      <c r="H17" s="184">
        <v>12000</v>
      </c>
      <c r="I17" s="184"/>
      <c r="J17" s="184"/>
      <c r="K17" s="184"/>
      <c r="L17" s="184">
        <v>10375</v>
      </c>
      <c r="M17" s="184">
        <v>10375</v>
      </c>
      <c r="N17" s="709">
        <v>200</v>
      </c>
    </row>
    <row r="18" spans="1:14" s="149" customFormat="1" ht="22.5">
      <c r="A18" s="3" t="s">
        <v>907</v>
      </c>
      <c r="B18" s="183">
        <v>1</v>
      </c>
      <c r="C18" s="186">
        <v>9000</v>
      </c>
      <c r="D18" s="185" t="s">
        <v>894</v>
      </c>
      <c r="E18" s="184">
        <v>108000</v>
      </c>
      <c r="F18" s="184">
        <v>3000</v>
      </c>
      <c r="G18" s="184">
        <v>4500</v>
      </c>
      <c r="H18" s="184">
        <v>12000</v>
      </c>
      <c r="I18" s="184"/>
      <c r="J18" s="184"/>
      <c r="K18" s="184"/>
      <c r="L18" s="184">
        <v>10375</v>
      </c>
      <c r="M18" s="184">
        <v>10375</v>
      </c>
      <c r="N18" s="709">
        <v>200</v>
      </c>
    </row>
    <row r="19" spans="1:14" s="149" customFormat="1" ht="33.75">
      <c r="A19" s="3" t="s">
        <v>908</v>
      </c>
      <c r="B19" s="183">
        <v>1</v>
      </c>
      <c r="C19" s="186">
        <v>9000</v>
      </c>
      <c r="D19" s="185" t="s">
        <v>894</v>
      </c>
      <c r="E19" s="184">
        <v>108000</v>
      </c>
      <c r="F19" s="184">
        <v>3000</v>
      </c>
      <c r="G19" s="184">
        <v>4500</v>
      </c>
      <c r="H19" s="184">
        <v>12000</v>
      </c>
      <c r="I19" s="184"/>
      <c r="J19" s="184"/>
      <c r="K19" s="184"/>
      <c r="L19" s="184">
        <v>10375</v>
      </c>
      <c r="M19" s="184">
        <v>10375</v>
      </c>
      <c r="N19" s="709">
        <v>200</v>
      </c>
    </row>
    <row r="20" spans="1:14" s="149" customFormat="1" ht="22.5">
      <c r="A20" s="3" t="s">
        <v>909</v>
      </c>
      <c r="B20" s="183">
        <v>1</v>
      </c>
      <c r="C20" s="184">
        <v>9000</v>
      </c>
      <c r="D20" s="185" t="s">
        <v>894</v>
      </c>
      <c r="E20" s="184">
        <v>108000</v>
      </c>
      <c r="F20" s="184">
        <v>3000</v>
      </c>
      <c r="G20" s="184">
        <v>4500</v>
      </c>
      <c r="H20" s="184">
        <v>12000</v>
      </c>
      <c r="I20" s="184"/>
      <c r="J20" s="184"/>
      <c r="K20" s="184"/>
      <c r="L20" s="184">
        <v>10375</v>
      </c>
      <c r="M20" s="184">
        <v>10375</v>
      </c>
      <c r="N20" s="709">
        <v>200</v>
      </c>
    </row>
    <row r="21" spans="1:14" s="149" customFormat="1" ht="45">
      <c r="A21" s="3" t="s">
        <v>910</v>
      </c>
      <c r="B21" s="183">
        <v>1</v>
      </c>
      <c r="C21" s="186">
        <v>5000</v>
      </c>
      <c r="D21" s="185" t="s">
        <v>895</v>
      </c>
      <c r="E21" s="184"/>
      <c r="F21" s="184"/>
      <c r="G21" s="184"/>
      <c r="H21" s="184"/>
      <c r="I21" s="184"/>
      <c r="J21" s="184"/>
      <c r="K21" s="184">
        <v>60000</v>
      </c>
      <c r="L21" s="184"/>
      <c r="M21" s="184"/>
      <c r="N21" s="709"/>
    </row>
    <row r="22" spans="1:14" s="149" customFormat="1" ht="45">
      <c r="A22" s="3" t="s">
        <v>911</v>
      </c>
      <c r="B22" s="183">
        <v>1</v>
      </c>
      <c r="C22" s="186">
        <v>6500</v>
      </c>
      <c r="D22" s="185" t="s">
        <v>895</v>
      </c>
      <c r="E22" s="184"/>
      <c r="F22" s="184"/>
      <c r="G22" s="184"/>
      <c r="H22" s="184"/>
      <c r="I22" s="184"/>
      <c r="J22" s="184"/>
      <c r="K22" s="184">
        <v>78000</v>
      </c>
      <c r="L22" s="184"/>
      <c r="M22" s="184"/>
      <c r="N22" s="709"/>
    </row>
    <row r="23" spans="1:14" s="149" customFormat="1" ht="45">
      <c r="A23" s="3" t="s">
        <v>912</v>
      </c>
      <c r="B23" s="183">
        <v>1</v>
      </c>
      <c r="C23" s="186">
        <v>6500</v>
      </c>
      <c r="D23" s="185" t="s">
        <v>895</v>
      </c>
      <c r="E23" s="184"/>
      <c r="F23" s="184"/>
      <c r="G23" s="184"/>
      <c r="H23" s="184"/>
      <c r="I23" s="184"/>
      <c r="J23" s="184"/>
      <c r="K23" s="184">
        <v>78000</v>
      </c>
      <c r="L23" s="184"/>
      <c r="M23" s="184"/>
      <c r="N23" s="709"/>
    </row>
    <row r="24" spans="1:14" s="149" customFormat="1" ht="45">
      <c r="A24" s="3" t="s">
        <v>913</v>
      </c>
      <c r="B24" s="183">
        <v>1</v>
      </c>
      <c r="C24" s="184">
        <v>6500</v>
      </c>
      <c r="D24" s="185" t="s">
        <v>895</v>
      </c>
      <c r="E24" s="185"/>
      <c r="F24" s="184"/>
      <c r="G24" s="184"/>
      <c r="H24" s="184"/>
      <c r="I24" s="184"/>
      <c r="J24" s="184"/>
      <c r="K24" s="184">
        <v>78000</v>
      </c>
      <c r="L24" s="184"/>
      <c r="M24" s="184"/>
      <c r="N24" s="709"/>
    </row>
    <row r="25" spans="1:14" s="149" customFormat="1" ht="56.25">
      <c r="A25" s="3" t="s">
        <v>914</v>
      </c>
      <c r="B25" s="183">
        <v>1</v>
      </c>
      <c r="C25" s="186">
        <v>3500</v>
      </c>
      <c r="D25" s="185" t="s">
        <v>895</v>
      </c>
      <c r="E25" s="184"/>
      <c r="F25" s="184"/>
      <c r="G25" s="184"/>
      <c r="H25" s="184"/>
      <c r="I25" s="184"/>
      <c r="J25" s="184"/>
      <c r="K25" s="184">
        <v>42000</v>
      </c>
      <c r="L25" s="184"/>
      <c r="M25" s="184"/>
      <c r="N25" s="709"/>
    </row>
    <row r="26" spans="1:14" s="149" customFormat="1" ht="67.5">
      <c r="A26" s="3" t="s">
        <v>915</v>
      </c>
      <c r="B26" s="183">
        <v>1</v>
      </c>
      <c r="C26" s="186">
        <v>5000</v>
      </c>
      <c r="D26" s="185" t="s">
        <v>895</v>
      </c>
      <c r="E26" s="184"/>
      <c r="F26" s="184"/>
      <c r="G26" s="184"/>
      <c r="H26" s="184"/>
      <c r="I26" s="184"/>
      <c r="J26" s="184"/>
      <c r="K26" s="184">
        <v>60000</v>
      </c>
      <c r="L26" s="184"/>
      <c r="M26" s="184"/>
      <c r="N26" s="709"/>
    </row>
    <row r="27" spans="1:14" s="149" customFormat="1" ht="56.25">
      <c r="A27" s="3" t="s">
        <v>916</v>
      </c>
      <c r="B27" s="183">
        <v>1</v>
      </c>
      <c r="C27" s="186">
        <v>3500</v>
      </c>
      <c r="D27" s="185" t="s">
        <v>895</v>
      </c>
      <c r="E27" s="184"/>
      <c r="F27" s="184"/>
      <c r="G27" s="184"/>
      <c r="H27" s="184"/>
      <c r="I27" s="184"/>
      <c r="J27" s="184"/>
      <c r="K27" s="184">
        <v>42000</v>
      </c>
      <c r="L27" s="184"/>
      <c r="M27" s="184"/>
      <c r="N27" s="709"/>
    </row>
    <row r="28" spans="1:14" s="149" customFormat="1" ht="45">
      <c r="A28" s="3" t="s">
        <v>917</v>
      </c>
      <c r="B28" s="183">
        <v>10</v>
      </c>
      <c r="C28" s="186">
        <v>6500</v>
      </c>
      <c r="D28" s="185" t="s">
        <v>895</v>
      </c>
      <c r="E28" s="184"/>
      <c r="F28" s="184"/>
      <c r="G28" s="184"/>
      <c r="H28" s="184"/>
      <c r="I28" s="184"/>
      <c r="J28" s="184"/>
      <c r="K28" s="184">
        <v>780000</v>
      </c>
      <c r="L28" s="184"/>
      <c r="M28" s="184"/>
      <c r="N28" s="709"/>
    </row>
    <row r="29" spans="1:14" s="149" customFormat="1" ht="45.75" thickBot="1">
      <c r="A29" s="711" t="s">
        <v>918</v>
      </c>
      <c r="B29" s="188">
        <v>1</v>
      </c>
      <c r="C29" s="189">
        <v>6500</v>
      </c>
      <c r="D29" s="190" t="s">
        <v>895</v>
      </c>
      <c r="E29" s="191"/>
      <c r="F29" s="191"/>
      <c r="G29" s="191"/>
      <c r="H29" s="191"/>
      <c r="I29" s="191"/>
      <c r="J29" s="191"/>
      <c r="K29" s="191">
        <v>78000</v>
      </c>
      <c r="L29" s="191"/>
      <c r="M29" s="191"/>
      <c r="N29" s="712"/>
    </row>
    <row r="30" spans="1:14" s="151" customFormat="1" ht="12" thickBot="1">
      <c r="A30" s="195"/>
      <c r="B30" s="198">
        <f>SUM(B7:B29)</f>
        <v>32</v>
      </c>
      <c r="C30" s="194"/>
      <c r="D30" s="197"/>
      <c r="E30" s="196">
        <v>1266000</v>
      </c>
      <c r="F30" s="193">
        <v>39000</v>
      </c>
      <c r="G30" s="193">
        <v>31500</v>
      </c>
      <c r="H30" s="193">
        <v>156000</v>
      </c>
      <c r="I30" s="193">
        <v>78468</v>
      </c>
      <c r="J30" s="193">
        <v>15000</v>
      </c>
      <c r="K30" s="193">
        <v>1296000</v>
      </c>
      <c r="L30" s="193">
        <v>128914</v>
      </c>
      <c r="M30" s="193">
        <v>128914</v>
      </c>
      <c r="N30" s="192">
        <v>2800</v>
      </c>
    </row>
    <row r="31" spans="1:14" s="199" customFormat="1" ht="13.5" thickBot="1">
      <c r="A31" s="937" t="s">
        <v>85</v>
      </c>
      <c r="B31" s="938"/>
      <c r="C31" s="938"/>
      <c r="D31" s="938"/>
      <c r="E31" s="938"/>
      <c r="F31" s="938"/>
      <c r="G31" s="938"/>
      <c r="H31" s="938"/>
      <c r="I31" s="938"/>
      <c r="J31" s="938"/>
      <c r="K31" s="938"/>
      <c r="L31" s="938"/>
      <c r="M31" s="939"/>
      <c r="N31" s="580">
        <v>3142596</v>
      </c>
    </row>
    <row r="32" spans="1:14" s="149" customFormat="1" ht="11.25"/>
    <row r="33" spans="11:11" s="149" customFormat="1" ht="11.25">
      <c r="K33" s="187"/>
    </row>
    <row r="34" spans="11:11" s="149" customFormat="1" ht="11.25"/>
    <row r="35" spans="11:11" s="149" customFormat="1" ht="11.25">
      <c r="K35" s="187"/>
    </row>
  </sheetData>
  <mergeCells count="10">
    <mergeCell ref="A31:M31"/>
    <mergeCell ref="A1:N1"/>
    <mergeCell ref="A2:N2"/>
    <mergeCell ref="A3:N3"/>
    <mergeCell ref="A4:N4"/>
    <mergeCell ref="E5:N5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17" scale="9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view="pageBreakPreview" topLeftCell="A2" zoomScale="60" zoomScaleNormal="100" workbookViewId="0">
      <selection activeCell="M46" sqref="L46:M46"/>
    </sheetView>
  </sheetViews>
  <sheetFormatPr baseColWidth="10" defaultRowHeight="11.25"/>
  <cols>
    <col min="1" max="1" width="28.5703125" style="6" customWidth="1"/>
    <col min="2" max="2" width="13.28515625" style="15" customWidth="1"/>
    <col min="3" max="3" width="14.7109375" style="6" customWidth="1"/>
    <col min="4" max="4" width="18.42578125" style="6" customWidth="1"/>
    <col min="5" max="5" width="12.7109375" style="6" bestFit="1" customWidth="1"/>
    <col min="6" max="6" width="14.5703125" style="6" bestFit="1" customWidth="1"/>
    <col min="7" max="7" width="9.28515625" style="6" bestFit="1" customWidth="1"/>
    <col min="8" max="8" width="11" style="6" bestFit="1" customWidth="1"/>
    <col min="9" max="9" width="12.28515625" style="6" bestFit="1" customWidth="1"/>
    <col min="10" max="11" width="10.140625" style="6" bestFit="1" customWidth="1"/>
    <col min="12" max="12" width="14.28515625" style="6" bestFit="1" customWidth="1"/>
    <col min="13" max="13" width="14.28515625" style="6" customWidth="1"/>
    <col min="14" max="15" width="14.28515625" style="6" bestFit="1" customWidth="1"/>
    <col min="16" max="16" width="14.5703125" style="6" bestFit="1" customWidth="1"/>
    <col min="17" max="258" width="11.42578125" style="6"/>
    <col min="259" max="259" width="36" style="6" customWidth="1"/>
    <col min="260" max="260" width="9" style="6" customWidth="1"/>
    <col min="261" max="261" width="11.7109375" style="6" bestFit="1" customWidth="1"/>
    <col min="262" max="262" width="12.7109375" style="6" bestFit="1" customWidth="1"/>
    <col min="263" max="263" width="14" style="6" customWidth="1"/>
    <col min="264" max="265" width="12.7109375" style="6" bestFit="1" customWidth="1"/>
    <col min="266" max="266" width="13.7109375" style="6" customWidth="1"/>
    <col min="267" max="268" width="15.42578125" style="6" customWidth="1"/>
    <col min="269" max="269" width="16.140625" style="6" customWidth="1"/>
    <col min="270" max="270" width="16.28515625" style="6" customWidth="1"/>
    <col min="271" max="271" width="13.42578125" style="6" customWidth="1"/>
    <col min="272" max="514" width="11.42578125" style="6"/>
    <col min="515" max="515" width="36" style="6" customWidth="1"/>
    <col min="516" max="516" width="9" style="6" customWidth="1"/>
    <col min="517" max="517" width="11.7109375" style="6" bestFit="1" customWidth="1"/>
    <col min="518" max="518" width="12.7109375" style="6" bestFit="1" customWidth="1"/>
    <col min="519" max="519" width="14" style="6" customWidth="1"/>
    <col min="520" max="521" width="12.7109375" style="6" bestFit="1" customWidth="1"/>
    <col min="522" max="522" width="13.7109375" style="6" customWidth="1"/>
    <col min="523" max="524" width="15.42578125" style="6" customWidth="1"/>
    <col min="525" max="525" width="16.140625" style="6" customWidth="1"/>
    <col min="526" max="526" width="16.28515625" style="6" customWidth="1"/>
    <col min="527" max="527" width="13.42578125" style="6" customWidth="1"/>
    <col min="528" max="770" width="11.42578125" style="6"/>
    <col min="771" max="771" width="36" style="6" customWidth="1"/>
    <col min="772" max="772" width="9" style="6" customWidth="1"/>
    <col min="773" max="773" width="11.7109375" style="6" bestFit="1" customWidth="1"/>
    <col min="774" max="774" width="12.7109375" style="6" bestFit="1" customWidth="1"/>
    <col min="775" max="775" width="14" style="6" customWidth="1"/>
    <col min="776" max="777" width="12.7109375" style="6" bestFit="1" customWidth="1"/>
    <col min="778" max="778" width="13.7109375" style="6" customWidth="1"/>
    <col min="779" max="780" width="15.42578125" style="6" customWidth="1"/>
    <col min="781" max="781" width="16.140625" style="6" customWidth="1"/>
    <col min="782" max="782" width="16.28515625" style="6" customWidth="1"/>
    <col min="783" max="783" width="13.42578125" style="6" customWidth="1"/>
    <col min="784" max="1026" width="11.42578125" style="6"/>
    <col min="1027" max="1027" width="36" style="6" customWidth="1"/>
    <col min="1028" max="1028" width="9" style="6" customWidth="1"/>
    <col min="1029" max="1029" width="11.7109375" style="6" bestFit="1" customWidth="1"/>
    <col min="1030" max="1030" width="12.7109375" style="6" bestFit="1" customWidth="1"/>
    <col min="1031" max="1031" width="14" style="6" customWidth="1"/>
    <col min="1032" max="1033" width="12.7109375" style="6" bestFit="1" customWidth="1"/>
    <col min="1034" max="1034" width="13.7109375" style="6" customWidth="1"/>
    <col min="1035" max="1036" width="15.42578125" style="6" customWidth="1"/>
    <col min="1037" max="1037" width="16.140625" style="6" customWidth="1"/>
    <col min="1038" max="1038" width="16.28515625" style="6" customWidth="1"/>
    <col min="1039" max="1039" width="13.42578125" style="6" customWidth="1"/>
    <col min="1040" max="1282" width="11.42578125" style="6"/>
    <col min="1283" max="1283" width="36" style="6" customWidth="1"/>
    <col min="1284" max="1284" width="9" style="6" customWidth="1"/>
    <col min="1285" max="1285" width="11.7109375" style="6" bestFit="1" customWidth="1"/>
    <col min="1286" max="1286" width="12.7109375" style="6" bestFit="1" customWidth="1"/>
    <col min="1287" max="1287" width="14" style="6" customWidth="1"/>
    <col min="1288" max="1289" width="12.7109375" style="6" bestFit="1" customWidth="1"/>
    <col min="1290" max="1290" width="13.7109375" style="6" customWidth="1"/>
    <col min="1291" max="1292" width="15.42578125" style="6" customWidth="1"/>
    <col min="1293" max="1293" width="16.140625" style="6" customWidth="1"/>
    <col min="1294" max="1294" width="16.28515625" style="6" customWidth="1"/>
    <col min="1295" max="1295" width="13.42578125" style="6" customWidth="1"/>
    <col min="1296" max="1538" width="11.42578125" style="6"/>
    <col min="1539" max="1539" width="36" style="6" customWidth="1"/>
    <col min="1540" max="1540" width="9" style="6" customWidth="1"/>
    <col min="1541" max="1541" width="11.7109375" style="6" bestFit="1" customWidth="1"/>
    <col min="1542" max="1542" width="12.7109375" style="6" bestFit="1" customWidth="1"/>
    <col min="1543" max="1543" width="14" style="6" customWidth="1"/>
    <col min="1544" max="1545" width="12.7109375" style="6" bestFit="1" customWidth="1"/>
    <col min="1546" max="1546" width="13.7109375" style="6" customWidth="1"/>
    <col min="1547" max="1548" width="15.42578125" style="6" customWidth="1"/>
    <col min="1549" max="1549" width="16.140625" style="6" customWidth="1"/>
    <col min="1550" max="1550" width="16.28515625" style="6" customWidth="1"/>
    <col min="1551" max="1551" width="13.42578125" style="6" customWidth="1"/>
    <col min="1552" max="1794" width="11.42578125" style="6"/>
    <col min="1795" max="1795" width="36" style="6" customWidth="1"/>
    <col min="1796" max="1796" width="9" style="6" customWidth="1"/>
    <col min="1797" max="1797" width="11.7109375" style="6" bestFit="1" customWidth="1"/>
    <col min="1798" max="1798" width="12.7109375" style="6" bestFit="1" customWidth="1"/>
    <col min="1799" max="1799" width="14" style="6" customWidth="1"/>
    <col min="1800" max="1801" width="12.7109375" style="6" bestFit="1" customWidth="1"/>
    <col min="1802" max="1802" width="13.7109375" style="6" customWidth="1"/>
    <col min="1803" max="1804" width="15.42578125" style="6" customWidth="1"/>
    <col min="1805" max="1805" width="16.140625" style="6" customWidth="1"/>
    <col min="1806" max="1806" width="16.28515625" style="6" customWidth="1"/>
    <col min="1807" max="1807" width="13.42578125" style="6" customWidth="1"/>
    <col min="1808" max="2050" width="11.42578125" style="6"/>
    <col min="2051" max="2051" width="36" style="6" customWidth="1"/>
    <col min="2052" max="2052" width="9" style="6" customWidth="1"/>
    <col min="2053" max="2053" width="11.7109375" style="6" bestFit="1" customWidth="1"/>
    <col min="2054" max="2054" width="12.7109375" style="6" bestFit="1" customWidth="1"/>
    <col min="2055" max="2055" width="14" style="6" customWidth="1"/>
    <col min="2056" max="2057" width="12.7109375" style="6" bestFit="1" customWidth="1"/>
    <col min="2058" max="2058" width="13.7109375" style="6" customWidth="1"/>
    <col min="2059" max="2060" width="15.42578125" style="6" customWidth="1"/>
    <col min="2061" max="2061" width="16.140625" style="6" customWidth="1"/>
    <col min="2062" max="2062" width="16.28515625" style="6" customWidth="1"/>
    <col min="2063" max="2063" width="13.42578125" style="6" customWidth="1"/>
    <col min="2064" max="2306" width="11.42578125" style="6"/>
    <col min="2307" max="2307" width="36" style="6" customWidth="1"/>
    <col min="2308" max="2308" width="9" style="6" customWidth="1"/>
    <col min="2309" max="2309" width="11.7109375" style="6" bestFit="1" customWidth="1"/>
    <col min="2310" max="2310" width="12.7109375" style="6" bestFit="1" customWidth="1"/>
    <col min="2311" max="2311" width="14" style="6" customWidth="1"/>
    <col min="2312" max="2313" width="12.7109375" style="6" bestFit="1" customWidth="1"/>
    <col min="2314" max="2314" width="13.7109375" style="6" customWidth="1"/>
    <col min="2315" max="2316" width="15.42578125" style="6" customWidth="1"/>
    <col min="2317" max="2317" width="16.140625" style="6" customWidth="1"/>
    <col min="2318" max="2318" width="16.28515625" style="6" customWidth="1"/>
    <col min="2319" max="2319" width="13.42578125" style="6" customWidth="1"/>
    <col min="2320" max="2562" width="11.42578125" style="6"/>
    <col min="2563" max="2563" width="36" style="6" customWidth="1"/>
    <col min="2564" max="2564" width="9" style="6" customWidth="1"/>
    <col min="2565" max="2565" width="11.7109375" style="6" bestFit="1" customWidth="1"/>
    <col min="2566" max="2566" width="12.7109375" style="6" bestFit="1" customWidth="1"/>
    <col min="2567" max="2567" width="14" style="6" customWidth="1"/>
    <col min="2568" max="2569" width="12.7109375" style="6" bestFit="1" customWidth="1"/>
    <col min="2570" max="2570" width="13.7109375" style="6" customWidth="1"/>
    <col min="2571" max="2572" width="15.42578125" style="6" customWidth="1"/>
    <col min="2573" max="2573" width="16.140625" style="6" customWidth="1"/>
    <col min="2574" max="2574" width="16.28515625" style="6" customWidth="1"/>
    <col min="2575" max="2575" width="13.42578125" style="6" customWidth="1"/>
    <col min="2576" max="2818" width="11.42578125" style="6"/>
    <col min="2819" max="2819" width="36" style="6" customWidth="1"/>
    <col min="2820" max="2820" width="9" style="6" customWidth="1"/>
    <col min="2821" max="2821" width="11.7109375" style="6" bestFit="1" customWidth="1"/>
    <col min="2822" max="2822" width="12.7109375" style="6" bestFit="1" customWidth="1"/>
    <col min="2823" max="2823" width="14" style="6" customWidth="1"/>
    <col min="2824" max="2825" width="12.7109375" style="6" bestFit="1" customWidth="1"/>
    <col min="2826" max="2826" width="13.7109375" style="6" customWidth="1"/>
    <col min="2827" max="2828" width="15.42578125" style="6" customWidth="1"/>
    <col min="2829" max="2829" width="16.140625" style="6" customWidth="1"/>
    <col min="2830" max="2830" width="16.28515625" style="6" customWidth="1"/>
    <col min="2831" max="2831" width="13.42578125" style="6" customWidth="1"/>
    <col min="2832" max="3074" width="11.42578125" style="6"/>
    <col min="3075" max="3075" width="36" style="6" customWidth="1"/>
    <col min="3076" max="3076" width="9" style="6" customWidth="1"/>
    <col min="3077" max="3077" width="11.7109375" style="6" bestFit="1" customWidth="1"/>
    <col min="3078" max="3078" width="12.7109375" style="6" bestFit="1" customWidth="1"/>
    <col min="3079" max="3079" width="14" style="6" customWidth="1"/>
    <col min="3080" max="3081" width="12.7109375" style="6" bestFit="1" customWidth="1"/>
    <col min="3082" max="3082" width="13.7109375" style="6" customWidth="1"/>
    <col min="3083" max="3084" width="15.42578125" style="6" customWidth="1"/>
    <col min="3085" max="3085" width="16.140625" style="6" customWidth="1"/>
    <col min="3086" max="3086" width="16.28515625" style="6" customWidth="1"/>
    <col min="3087" max="3087" width="13.42578125" style="6" customWidth="1"/>
    <col min="3088" max="3330" width="11.42578125" style="6"/>
    <col min="3331" max="3331" width="36" style="6" customWidth="1"/>
    <col min="3332" max="3332" width="9" style="6" customWidth="1"/>
    <col min="3333" max="3333" width="11.7109375" style="6" bestFit="1" customWidth="1"/>
    <col min="3334" max="3334" width="12.7109375" style="6" bestFit="1" customWidth="1"/>
    <col min="3335" max="3335" width="14" style="6" customWidth="1"/>
    <col min="3336" max="3337" width="12.7109375" style="6" bestFit="1" customWidth="1"/>
    <col min="3338" max="3338" width="13.7109375" style="6" customWidth="1"/>
    <col min="3339" max="3340" width="15.42578125" style="6" customWidth="1"/>
    <col min="3341" max="3341" width="16.140625" style="6" customWidth="1"/>
    <col min="3342" max="3342" width="16.28515625" style="6" customWidth="1"/>
    <col min="3343" max="3343" width="13.42578125" style="6" customWidth="1"/>
    <col min="3344" max="3586" width="11.42578125" style="6"/>
    <col min="3587" max="3587" width="36" style="6" customWidth="1"/>
    <col min="3588" max="3588" width="9" style="6" customWidth="1"/>
    <col min="3589" max="3589" width="11.7109375" style="6" bestFit="1" customWidth="1"/>
    <col min="3590" max="3590" width="12.7109375" style="6" bestFit="1" customWidth="1"/>
    <col min="3591" max="3591" width="14" style="6" customWidth="1"/>
    <col min="3592" max="3593" width="12.7109375" style="6" bestFit="1" customWidth="1"/>
    <col min="3594" max="3594" width="13.7109375" style="6" customWidth="1"/>
    <col min="3595" max="3596" width="15.42578125" style="6" customWidth="1"/>
    <col min="3597" max="3597" width="16.140625" style="6" customWidth="1"/>
    <col min="3598" max="3598" width="16.28515625" style="6" customWidth="1"/>
    <col min="3599" max="3599" width="13.42578125" style="6" customWidth="1"/>
    <col min="3600" max="3842" width="11.42578125" style="6"/>
    <col min="3843" max="3843" width="36" style="6" customWidth="1"/>
    <col min="3844" max="3844" width="9" style="6" customWidth="1"/>
    <col min="3845" max="3845" width="11.7109375" style="6" bestFit="1" customWidth="1"/>
    <col min="3846" max="3846" width="12.7109375" style="6" bestFit="1" customWidth="1"/>
    <col min="3847" max="3847" width="14" style="6" customWidth="1"/>
    <col min="3848" max="3849" width="12.7109375" style="6" bestFit="1" customWidth="1"/>
    <col min="3850" max="3850" width="13.7109375" style="6" customWidth="1"/>
    <col min="3851" max="3852" width="15.42578125" style="6" customWidth="1"/>
    <col min="3853" max="3853" width="16.140625" style="6" customWidth="1"/>
    <col min="3854" max="3854" width="16.28515625" style="6" customWidth="1"/>
    <col min="3855" max="3855" width="13.42578125" style="6" customWidth="1"/>
    <col min="3856" max="4098" width="11.42578125" style="6"/>
    <col min="4099" max="4099" width="36" style="6" customWidth="1"/>
    <col min="4100" max="4100" width="9" style="6" customWidth="1"/>
    <col min="4101" max="4101" width="11.7109375" style="6" bestFit="1" customWidth="1"/>
    <col min="4102" max="4102" width="12.7109375" style="6" bestFit="1" customWidth="1"/>
    <col min="4103" max="4103" width="14" style="6" customWidth="1"/>
    <col min="4104" max="4105" width="12.7109375" style="6" bestFit="1" customWidth="1"/>
    <col min="4106" max="4106" width="13.7109375" style="6" customWidth="1"/>
    <col min="4107" max="4108" width="15.42578125" style="6" customWidth="1"/>
    <col min="4109" max="4109" width="16.140625" style="6" customWidth="1"/>
    <col min="4110" max="4110" width="16.28515625" style="6" customWidth="1"/>
    <col min="4111" max="4111" width="13.42578125" style="6" customWidth="1"/>
    <col min="4112" max="4354" width="11.42578125" style="6"/>
    <col min="4355" max="4355" width="36" style="6" customWidth="1"/>
    <col min="4356" max="4356" width="9" style="6" customWidth="1"/>
    <col min="4357" max="4357" width="11.7109375" style="6" bestFit="1" customWidth="1"/>
    <col min="4358" max="4358" width="12.7109375" style="6" bestFit="1" customWidth="1"/>
    <col min="4359" max="4359" width="14" style="6" customWidth="1"/>
    <col min="4360" max="4361" width="12.7109375" style="6" bestFit="1" customWidth="1"/>
    <col min="4362" max="4362" width="13.7109375" style="6" customWidth="1"/>
    <col min="4363" max="4364" width="15.42578125" style="6" customWidth="1"/>
    <col min="4365" max="4365" width="16.140625" style="6" customWidth="1"/>
    <col min="4366" max="4366" width="16.28515625" style="6" customWidth="1"/>
    <col min="4367" max="4367" width="13.42578125" style="6" customWidth="1"/>
    <col min="4368" max="4610" width="11.42578125" style="6"/>
    <col min="4611" max="4611" width="36" style="6" customWidth="1"/>
    <col min="4612" max="4612" width="9" style="6" customWidth="1"/>
    <col min="4613" max="4613" width="11.7109375" style="6" bestFit="1" customWidth="1"/>
    <col min="4614" max="4614" width="12.7109375" style="6" bestFit="1" customWidth="1"/>
    <col min="4615" max="4615" width="14" style="6" customWidth="1"/>
    <col min="4616" max="4617" width="12.7109375" style="6" bestFit="1" customWidth="1"/>
    <col min="4618" max="4618" width="13.7109375" style="6" customWidth="1"/>
    <col min="4619" max="4620" width="15.42578125" style="6" customWidth="1"/>
    <col min="4621" max="4621" width="16.140625" style="6" customWidth="1"/>
    <col min="4622" max="4622" width="16.28515625" style="6" customWidth="1"/>
    <col min="4623" max="4623" width="13.42578125" style="6" customWidth="1"/>
    <col min="4624" max="4866" width="11.42578125" style="6"/>
    <col min="4867" max="4867" width="36" style="6" customWidth="1"/>
    <col min="4868" max="4868" width="9" style="6" customWidth="1"/>
    <col min="4869" max="4869" width="11.7109375" style="6" bestFit="1" customWidth="1"/>
    <col min="4870" max="4870" width="12.7109375" style="6" bestFit="1" customWidth="1"/>
    <col min="4871" max="4871" width="14" style="6" customWidth="1"/>
    <col min="4872" max="4873" width="12.7109375" style="6" bestFit="1" customWidth="1"/>
    <col min="4874" max="4874" width="13.7109375" style="6" customWidth="1"/>
    <col min="4875" max="4876" width="15.42578125" style="6" customWidth="1"/>
    <col min="4877" max="4877" width="16.140625" style="6" customWidth="1"/>
    <col min="4878" max="4878" width="16.28515625" style="6" customWidth="1"/>
    <col min="4879" max="4879" width="13.42578125" style="6" customWidth="1"/>
    <col min="4880" max="5122" width="11.42578125" style="6"/>
    <col min="5123" max="5123" width="36" style="6" customWidth="1"/>
    <col min="5124" max="5124" width="9" style="6" customWidth="1"/>
    <col min="5125" max="5125" width="11.7109375" style="6" bestFit="1" customWidth="1"/>
    <col min="5126" max="5126" width="12.7109375" style="6" bestFit="1" customWidth="1"/>
    <col min="5127" max="5127" width="14" style="6" customWidth="1"/>
    <col min="5128" max="5129" width="12.7109375" style="6" bestFit="1" customWidth="1"/>
    <col min="5130" max="5130" width="13.7109375" style="6" customWidth="1"/>
    <col min="5131" max="5132" width="15.42578125" style="6" customWidth="1"/>
    <col min="5133" max="5133" width="16.140625" style="6" customWidth="1"/>
    <col min="5134" max="5134" width="16.28515625" style="6" customWidth="1"/>
    <col min="5135" max="5135" width="13.42578125" style="6" customWidth="1"/>
    <col min="5136" max="5378" width="11.42578125" style="6"/>
    <col min="5379" max="5379" width="36" style="6" customWidth="1"/>
    <col min="5380" max="5380" width="9" style="6" customWidth="1"/>
    <col min="5381" max="5381" width="11.7109375" style="6" bestFit="1" customWidth="1"/>
    <col min="5382" max="5382" width="12.7109375" style="6" bestFit="1" customWidth="1"/>
    <col min="5383" max="5383" width="14" style="6" customWidth="1"/>
    <col min="5384" max="5385" width="12.7109375" style="6" bestFit="1" customWidth="1"/>
    <col min="5386" max="5386" width="13.7109375" style="6" customWidth="1"/>
    <col min="5387" max="5388" width="15.42578125" style="6" customWidth="1"/>
    <col min="5389" max="5389" width="16.140625" style="6" customWidth="1"/>
    <col min="5390" max="5390" width="16.28515625" style="6" customWidth="1"/>
    <col min="5391" max="5391" width="13.42578125" style="6" customWidth="1"/>
    <col min="5392" max="5634" width="11.42578125" style="6"/>
    <col min="5635" max="5635" width="36" style="6" customWidth="1"/>
    <col min="5636" max="5636" width="9" style="6" customWidth="1"/>
    <col min="5637" max="5637" width="11.7109375" style="6" bestFit="1" customWidth="1"/>
    <col min="5638" max="5638" width="12.7109375" style="6" bestFit="1" customWidth="1"/>
    <col min="5639" max="5639" width="14" style="6" customWidth="1"/>
    <col min="5640" max="5641" width="12.7109375" style="6" bestFit="1" customWidth="1"/>
    <col min="5642" max="5642" width="13.7109375" style="6" customWidth="1"/>
    <col min="5643" max="5644" width="15.42578125" style="6" customWidth="1"/>
    <col min="5645" max="5645" width="16.140625" style="6" customWidth="1"/>
    <col min="5646" max="5646" width="16.28515625" style="6" customWidth="1"/>
    <col min="5647" max="5647" width="13.42578125" style="6" customWidth="1"/>
    <col min="5648" max="5890" width="11.42578125" style="6"/>
    <col min="5891" max="5891" width="36" style="6" customWidth="1"/>
    <col min="5892" max="5892" width="9" style="6" customWidth="1"/>
    <col min="5893" max="5893" width="11.7109375" style="6" bestFit="1" customWidth="1"/>
    <col min="5894" max="5894" width="12.7109375" style="6" bestFit="1" customWidth="1"/>
    <col min="5895" max="5895" width="14" style="6" customWidth="1"/>
    <col min="5896" max="5897" width="12.7109375" style="6" bestFit="1" customWidth="1"/>
    <col min="5898" max="5898" width="13.7109375" style="6" customWidth="1"/>
    <col min="5899" max="5900" width="15.42578125" style="6" customWidth="1"/>
    <col min="5901" max="5901" width="16.140625" style="6" customWidth="1"/>
    <col min="5902" max="5902" width="16.28515625" style="6" customWidth="1"/>
    <col min="5903" max="5903" width="13.42578125" style="6" customWidth="1"/>
    <col min="5904" max="6146" width="11.42578125" style="6"/>
    <col min="6147" max="6147" width="36" style="6" customWidth="1"/>
    <col min="6148" max="6148" width="9" style="6" customWidth="1"/>
    <col min="6149" max="6149" width="11.7109375" style="6" bestFit="1" customWidth="1"/>
    <col min="6150" max="6150" width="12.7109375" style="6" bestFit="1" customWidth="1"/>
    <col min="6151" max="6151" width="14" style="6" customWidth="1"/>
    <col min="6152" max="6153" width="12.7109375" style="6" bestFit="1" customWidth="1"/>
    <col min="6154" max="6154" width="13.7109375" style="6" customWidth="1"/>
    <col min="6155" max="6156" width="15.42578125" style="6" customWidth="1"/>
    <col min="6157" max="6157" width="16.140625" style="6" customWidth="1"/>
    <col min="6158" max="6158" width="16.28515625" style="6" customWidth="1"/>
    <col min="6159" max="6159" width="13.42578125" style="6" customWidth="1"/>
    <col min="6160" max="6402" width="11.42578125" style="6"/>
    <col min="6403" max="6403" width="36" style="6" customWidth="1"/>
    <col min="6404" max="6404" width="9" style="6" customWidth="1"/>
    <col min="6405" max="6405" width="11.7109375" style="6" bestFit="1" customWidth="1"/>
    <col min="6406" max="6406" width="12.7109375" style="6" bestFit="1" customWidth="1"/>
    <col min="6407" max="6407" width="14" style="6" customWidth="1"/>
    <col min="6408" max="6409" width="12.7109375" style="6" bestFit="1" customWidth="1"/>
    <col min="6410" max="6410" width="13.7109375" style="6" customWidth="1"/>
    <col min="6411" max="6412" width="15.42578125" style="6" customWidth="1"/>
    <col min="6413" max="6413" width="16.140625" style="6" customWidth="1"/>
    <col min="6414" max="6414" width="16.28515625" style="6" customWidth="1"/>
    <col min="6415" max="6415" width="13.42578125" style="6" customWidth="1"/>
    <col min="6416" max="6658" width="11.42578125" style="6"/>
    <col min="6659" max="6659" width="36" style="6" customWidth="1"/>
    <col min="6660" max="6660" width="9" style="6" customWidth="1"/>
    <col min="6661" max="6661" width="11.7109375" style="6" bestFit="1" customWidth="1"/>
    <col min="6662" max="6662" width="12.7109375" style="6" bestFit="1" customWidth="1"/>
    <col min="6663" max="6663" width="14" style="6" customWidth="1"/>
    <col min="6664" max="6665" width="12.7109375" style="6" bestFit="1" customWidth="1"/>
    <col min="6666" max="6666" width="13.7109375" style="6" customWidth="1"/>
    <col min="6667" max="6668" width="15.42578125" style="6" customWidth="1"/>
    <col min="6669" max="6669" width="16.140625" style="6" customWidth="1"/>
    <col min="6670" max="6670" width="16.28515625" style="6" customWidth="1"/>
    <col min="6671" max="6671" width="13.42578125" style="6" customWidth="1"/>
    <col min="6672" max="6914" width="11.42578125" style="6"/>
    <col min="6915" max="6915" width="36" style="6" customWidth="1"/>
    <col min="6916" max="6916" width="9" style="6" customWidth="1"/>
    <col min="6917" max="6917" width="11.7109375" style="6" bestFit="1" customWidth="1"/>
    <col min="6918" max="6918" width="12.7109375" style="6" bestFit="1" customWidth="1"/>
    <col min="6919" max="6919" width="14" style="6" customWidth="1"/>
    <col min="6920" max="6921" width="12.7109375" style="6" bestFit="1" customWidth="1"/>
    <col min="6922" max="6922" width="13.7109375" style="6" customWidth="1"/>
    <col min="6923" max="6924" width="15.42578125" style="6" customWidth="1"/>
    <col min="6925" max="6925" width="16.140625" style="6" customWidth="1"/>
    <col min="6926" max="6926" width="16.28515625" style="6" customWidth="1"/>
    <col min="6927" max="6927" width="13.42578125" style="6" customWidth="1"/>
    <col min="6928" max="7170" width="11.42578125" style="6"/>
    <col min="7171" max="7171" width="36" style="6" customWidth="1"/>
    <col min="7172" max="7172" width="9" style="6" customWidth="1"/>
    <col min="7173" max="7173" width="11.7109375" style="6" bestFit="1" customWidth="1"/>
    <col min="7174" max="7174" width="12.7109375" style="6" bestFit="1" customWidth="1"/>
    <col min="7175" max="7175" width="14" style="6" customWidth="1"/>
    <col min="7176" max="7177" width="12.7109375" style="6" bestFit="1" customWidth="1"/>
    <col min="7178" max="7178" width="13.7109375" style="6" customWidth="1"/>
    <col min="7179" max="7180" width="15.42578125" style="6" customWidth="1"/>
    <col min="7181" max="7181" width="16.140625" style="6" customWidth="1"/>
    <col min="7182" max="7182" width="16.28515625" style="6" customWidth="1"/>
    <col min="7183" max="7183" width="13.42578125" style="6" customWidth="1"/>
    <col min="7184" max="7426" width="11.42578125" style="6"/>
    <col min="7427" max="7427" width="36" style="6" customWidth="1"/>
    <col min="7428" max="7428" width="9" style="6" customWidth="1"/>
    <col min="7429" max="7429" width="11.7109375" style="6" bestFit="1" customWidth="1"/>
    <col min="7430" max="7430" width="12.7109375" style="6" bestFit="1" customWidth="1"/>
    <col min="7431" max="7431" width="14" style="6" customWidth="1"/>
    <col min="7432" max="7433" width="12.7109375" style="6" bestFit="1" customWidth="1"/>
    <col min="7434" max="7434" width="13.7109375" style="6" customWidth="1"/>
    <col min="7435" max="7436" width="15.42578125" style="6" customWidth="1"/>
    <col min="7437" max="7437" width="16.140625" style="6" customWidth="1"/>
    <col min="7438" max="7438" width="16.28515625" style="6" customWidth="1"/>
    <col min="7439" max="7439" width="13.42578125" style="6" customWidth="1"/>
    <col min="7440" max="7682" width="11.42578125" style="6"/>
    <col min="7683" max="7683" width="36" style="6" customWidth="1"/>
    <col min="7684" max="7684" width="9" style="6" customWidth="1"/>
    <col min="7685" max="7685" width="11.7109375" style="6" bestFit="1" customWidth="1"/>
    <col min="7686" max="7686" width="12.7109375" style="6" bestFit="1" customWidth="1"/>
    <col min="7687" max="7687" width="14" style="6" customWidth="1"/>
    <col min="7688" max="7689" width="12.7109375" style="6" bestFit="1" customWidth="1"/>
    <col min="7690" max="7690" width="13.7109375" style="6" customWidth="1"/>
    <col min="7691" max="7692" width="15.42578125" style="6" customWidth="1"/>
    <col min="7693" max="7693" width="16.140625" style="6" customWidth="1"/>
    <col min="7694" max="7694" width="16.28515625" style="6" customWidth="1"/>
    <col min="7695" max="7695" width="13.42578125" style="6" customWidth="1"/>
    <col min="7696" max="7938" width="11.42578125" style="6"/>
    <col min="7939" max="7939" width="36" style="6" customWidth="1"/>
    <col min="7940" max="7940" width="9" style="6" customWidth="1"/>
    <col min="7941" max="7941" width="11.7109375" style="6" bestFit="1" customWidth="1"/>
    <col min="7942" max="7942" width="12.7109375" style="6" bestFit="1" customWidth="1"/>
    <col min="7943" max="7943" width="14" style="6" customWidth="1"/>
    <col min="7944" max="7945" width="12.7109375" style="6" bestFit="1" customWidth="1"/>
    <col min="7946" max="7946" width="13.7109375" style="6" customWidth="1"/>
    <col min="7947" max="7948" width="15.42578125" style="6" customWidth="1"/>
    <col min="7949" max="7949" width="16.140625" style="6" customWidth="1"/>
    <col min="7950" max="7950" width="16.28515625" style="6" customWidth="1"/>
    <col min="7951" max="7951" width="13.42578125" style="6" customWidth="1"/>
    <col min="7952" max="8194" width="11.42578125" style="6"/>
    <col min="8195" max="8195" width="36" style="6" customWidth="1"/>
    <col min="8196" max="8196" width="9" style="6" customWidth="1"/>
    <col min="8197" max="8197" width="11.7109375" style="6" bestFit="1" customWidth="1"/>
    <col min="8198" max="8198" width="12.7109375" style="6" bestFit="1" customWidth="1"/>
    <col min="8199" max="8199" width="14" style="6" customWidth="1"/>
    <col min="8200" max="8201" width="12.7109375" style="6" bestFit="1" customWidth="1"/>
    <col min="8202" max="8202" width="13.7109375" style="6" customWidth="1"/>
    <col min="8203" max="8204" width="15.42578125" style="6" customWidth="1"/>
    <col min="8205" max="8205" width="16.140625" style="6" customWidth="1"/>
    <col min="8206" max="8206" width="16.28515625" style="6" customWidth="1"/>
    <col min="8207" max="8207" width="13.42578125" style="6" customWidth="1"/>
    <col min="8208" max="8450" width="11.42578125" style="6"/>
    <col min="8451" max="8451" width="36" style="6" customWidth="1"/>
    <col min="8452" max="8452" width="9" style="6" customWidth="1"/>
    <col min="8453" max="8453" width="11.7109375" style="6" bestFit="1" customWidth="1"/>
    <col min="8454" max="8454" width="12.7109375" style="6" bestFit="1" customWidth="1"/>
    <col min="8455" max="8455" width="14" style="6" customWidth="1"/>
    <col min="8456" max="8457" width="12.7109375" style="6" bestFit="1" customWidth="1"/>
    <col min="8458" max="8458" width="13.7109375" style="6" customWidth="1"/>
    <col min="8459" max="8460" width="15.42578125" style="6" customWidth="1"/>
    <col min="8461" max="8461" width="16.140625" style="6" customWidth="1"/>
    <col min="8462" max="8462" width="16.28515625" style="6" customWidth="1"/>
    <col min="8463" max="8463" width="13.42578125" style="6" customWidth="1"/>
    <col min="8464" max="8706" width="11.42578125" style="6"/>
    <col min="8707" max="8707" width="36" style="6" customWidth="1"/>
    <col min="8708" max="8708" width="9" style="6" customWidth="1"/>
    <col min="8709" max="8709" width="11.7109375" style="6" bestFit="1" customWidth="1"/>
    <col min="8710" max="8710" width="12.7109375" style="6" bestFit="1" customWidth="1"/>
    <col min="8711" max="8711" width="14" style="6" customWidth="1"/>
    <col min="8712" max="8713" width="12.7109375" style="6" bestFit="1" customWidth="1"/>
    <col min="8714" max="8714" width="13.7109375" style="6" customWidth="1"/>
    <col min="8715" max="8716" width="15.42578125" style="6" customWidth="1"/>
    <col min="8717" max="8717" width="16.140625" style="6" customWidth="1"/>
    <col min="8718" max="8718" width="16.28515625" style="6" customWidth="1"/>
    <col min="8719" max="8719" width="13.42578125" style="6" customWidth="1"/>
    <col min="8720" max="8962" width="11.42578125" style="6"/>
    <col min="8963" max="8963" width="36" style="6" customWidth="1"/>
    <col min="8964" max="8964" width="9" style="6" customWidth="1"/>
    <col min="8965" max="8965" width="11.7109375" style="6" bestFit="1" customWidth="1"/>
    <col min="8966" max="8966" width="12.7109375" style="6" bestFit="1" customWidth="1"/>
    <col min="8967" max="8967" width="14" style="6" customWidth="1"/>
    <col min="8968" max="8969" width="12.7109375" style="6" bestFit="1" customWidth="1"/>
    <col min="8970" max="8970" width="13.7109375" style="6" customWidth="1"/>
    <col min="8971" max="8972" width="15.42578125" style="6" customWidth="1"/>
    <col min="8973" max="8973" width="16.140625" style="6" customWidth="1"/>
    <col min="8974" max="8974" width="16.28515625" style="6" customWidth="1"/>
    <col min="8975" max="8975" width="13.42578125" style="6" customWidth="1"/>
    <col min="8976" max="9218" width="11.42578125" style="6"/>
    <col min="9219" max="9219" width="36" style="6" customWidth="1"/>
    <col min="9220" max="9220" width="9" style="6" customWidth="1"/>
    <col min="9221" max="9221" width="11.7109375" style="6" bestFit="1" customWidth="1"/>
    <col min="9222" max="9222" width="12.7109375" style="6" bestFit="1" customWidth="1"/>
    <col min="9223" max="9223" width="14" style="6" customWidth="1"/>
    <col min="9224" max="9225" width="12.7109375" style="6" bestFit="1" customWidth="1"/>
    <col min="9226" max="9226" width="13.7109375" style="6" customWidth="1"/>
    <col min="9227" max="9228" width="15.42578125" style="6" customWidth="1"/>
    <col min="9229" max="9229" width="16.140625" style="6" customWidth="1"/>
    <col min="9230" max="9230" width="16.28515625" style="6" customWidth="1"/>
    <col min="9231" max="9231" width="13.42578125" style="6" customWidth="1"/>
    <col min="9232" max="9474" width="11.42578125" style="6"/>
    <col min="9475" max="9475" width="36" style="6" customWidth="1"/>
    <col min="9476" max="9476" width="9" style="6" customWidth="1"/>
    <col min="9477" max="9477" width="11.7109375" style="6" bestFit="1" customWidth="1"/>
    <col min="9478" max="9478" width="12.7109375" style="6" bestFit="1" customWidth="1"/>
    <col min="9479" max="9479" width="14" style="6" customWidth="1"/>
    <col min="9480" max="9481" width="12.7109375" style="6" bestFit="1" customWidth="1"/>
    <col min="9482" max="9482" width="13.7109375" style="6" customWidth="1"/>
    <col min="9483" max="9484" width="15.42578125" style="6" customWidth="1"/>
    <col min="9485" max="9485" width="16.140625" style="6" customWidth="1"/>
    <col min="9486" max="9486" width="16.28515625" style="6" customWidth="1"/>
    <col min="9487" max="9487" width="13.42578125" style="6" customWidth="1"/>
    <col min="9488" max="9730" width="11.42578125" style="6"/>
    <col min="9731" max="9731" width="36" style="6" customWidth="1"/>
    <col min="9732" max="9732" width="9" style="6" customWidth="1"/>
    <col min="9733" max="9733" width="11.7109375" style="6" bestFit="1" customWidth="1"/>
    <col min="9734" max="9734" width="12.7109375" style="6" bestFit="1" customWidth="1"/>
    <col min="9735" max="9735" width="14" style="6" customWidth="1"/>
    <col min="9736" max="9737" width="12.7109375" style="6" bestFit="1" customWidth="1"/>
    <col min="9738" max="9738" width="13.7109375" style="6" customWidth="1"/>
    <col min="9739" max="9740" width="15.42578125" style="6" customWidth="1"/>
    <col min="9741" max="9741" width="16.140625" style="6" customWidth="1"/>
    <col min="9742" max="9742" width="16.28515625" style="6" customWidth="1"/>
    <col min="9743" max="9743" width="13.42578125" style="6" customWidth="1"/>
    <col min="9744" max="9986" width="11.42578125" style="6"/>
    <col min="9987" max="9987" width="36" style="6" customWidth="1"/>
    <col min="9988" max="9988" width="9" style="6" customWidth="1"/>
    <col min="9989" max="9989" width="11.7109375" style="6" bestFit="1" customWidth="1"/>
    <col min="9990" max="9990" width="12.7109375" style="6" bestFit="1" customWidth="1"/>
    <col min="9991" max="9991" width="14" style="6" customWidth="1"/>
    <col min="9992" max="9993" width="12.7109375" style="6" bestFit="1" customWidth="1"/>
    <col min="9994" max="9994" width="13.7109375" style="6" customWidth="1"/>
    <col min="9995" max="9996" width="15.42578125" style="6" customWidth="1"/>
    <col min="9997" max="9997" width="16.140625" style="6" customWidth="1"/>
    <col min="9998" max="9998" width="16.28515625" style="6" customWidth="1"/>
    <col min="9999" max="9999" width="13.42578125" style="6" customWidth="1"/>
    <col min="10000" max="10242" width="11.42578125" style="6"/>
    <col min="10243" max="10243" width="36" style="6" customWidth="1"/>
    <col min="10244" max="10244" width="9" style="6" customWidth="1"/>
    <col min="10245" max="10245" width="11.7109375" style="6" bestFit="1" customWidth="1"/>
    <col min="10246" max="10246" width="12.7109375" style="6" bestFit="1" customWidth="1"/>
    <col min="10247" max="10247" width="14" style="6" customWidth="1"/>
    <col min="10248" max="10249" width="12.7109375" style="6" bestFit="1" customWidth="1"/>
    <col min="10250" max="10250" width="13.7109375" style="6" customWidth="1"/>
    <col min="10251" max="10252" width="15.42578125" style="6" customWidth="1"/>
    <col min="10253" max="10253" width="16.140625" style="6" customWidth="1"/>
    <col min="10254" max="10254" width="16.28515625" style="6" customWidth="1"/>
    <col min="10255" max="10255" width="13.42578125" style="6" customWidth="1"/>
    <col min="10256" max="10498" width="11.42578125" style="6"/>
    <col min="10499" max="10499" width="36" style="6" customWidth="1"/>
    <col min="10500" max="10500" width="9" style="6" customWidth="1"/>
    <col min="10501" max="10501" width="11.7109375" style="6" bestFit="1" customWidth="1"/>
    <col min="10502" max="10502" width="12.7109375" style="6" bestFit="1" customWidth="1"/>
    <col min="10503" max="10503" width="14" style="6" customWidth="1"/>
    <col min="10504" max="10505" width="12.7109375" style="6" bestFit="1" customWidth="1"/>
    <col min="10506" max="10506" width="13.7109375" style="6" customWidth="1"/>
    <col min="10507" max="10508" width="15.42578125" style="6" customWidth="1"/>
    <col min="10509" max="10509" width="16.140625" style="6" customWidth="1"/>
    <col min="10510" max="10510" width="16.28515625" style="6" customWidth="1"/>
    <col min="10511" max="10511" width="13.42578125" style="6" customWidth="1"/>
    <col min="10512" max="10754" width="11.42578125" style="6"/>
    <col min="10755" max="10755" width="36" style="6" customWidth="1"/>
    <col min="10756" max="10756" width="9" style="6" customWidth="1"/>
    <col min="10757" max="10757" width="11.7109375" style="6" bestFit="1" customWidth="1"/>
    <col min="10758" max="10758" width="12.7109375" style="6" bestFit="1" customWidth="1"/>
    <col min="10759" max="10759" width="14" style="6" customWidth="1"/>
    <col min="10760" max="10761" width="12.7109375" style="6" bestFit="1" customWidth="1"/>
    <col min="10762" max="10762" width="13.7109375" style="6" customWidth="1"/>
    <col min="10763" max="10764" width="15.42578125" style="6" customWidth="1"/>
    <col min="10765" max="10765" width="16.140625" style="6" customWidth="1"/>
    <col min="10766" max="10766" width="16.28515625" style="6" customWidth="1"/>
    <col min="10767" max="10767" width="13.42578125" style="6" customWidth="1"/>
    <col min="10768" max="11010" width="11.42578125" style="6"/>
    <col min="11011" max="11011" width="36" style="6" customWidth="1"/>
    <col min="11012" max="11012" width="9" style="6" customWidth="1"/>
    <col min="11013" max="11013" width="11.7109375" style="6" bestFit="1" customWidth="1"/>
    <col min="11014" max="11014" width="12.7109375" style="6" bestFit="1" customWidth="1"/>
    <col min="11015" max="11015" width="14" style="6" customWidth="1"/>
    <col min="11016" max="11017" width="12.7109375" style="6" bestFit="1" customWidth="1"/>
    <col min="11018" max="11018" width="13.7109375" style="6" customWidth="1"/>
    <col min="11019" max="11020" width="15.42578125" style="6" customWidth="1"/>
    <col min="11021" max="11021" width="16.140625" style="6" customWidth="1"/>
    <col min="11022" max="11022" width="16.28515625" style="6" customWidth="1"/>
    <col min="11023" max="11023" width="13.42578125" style="6" customWidth="1"/>
    <col min="11024" max="11266" width="11.42578125" style="6"/>
    <col min="11267" max="11267" width="36" style="6" customWidth="1"/>
    <col min="11268" max="11268" width="9" style="6" customWidth="1"/>
    <col min="11269" max="11269" width="11.7109375" style="6" bestFit="1" customWidth="1"/>
    <col min="11270" max="11270" width="12.7109375" style="6" bestFit="1" customWidth="1"/>
    <col min="11271" max="11271" width="14" style="6" customWidth="1"/>
    <col min="11272" max="11273" width="12.7109375" style="6" bestFit="1" customWidth="1"/>
    <col min="11274" max="11274" width="13.7109375" style="6" customWidth="1"/>
    <col min="11275" max="11276" width="15.42578125" style="6" customWidth="1"/>
    <col min="11277" max="11277" width="16.140625" style="6" customWidth="1"/>
    <col min="11278" max="11278" width="16.28515625" style="6" customWidth="1"/>
    <col min="11279" max="11279" width="13.42578125" style="6" customWidth="1"/>
    <col min="11280" max="11522" width="11.42578125" style="6"/>
    <col min="11523" max="11523" width="36" style="6" customWidth="1"/>
    <col min="11524" max="11524" width="9" style="6" customWidth="1"/>
    <col min="11525" max="11525" width="11.7109375" style="6" bestFit="1" customWidth="1"/>
    <col min="11526" max="11526" width="12.7109375" style="6" bestFit="1" customWidth="1"/>
    <col min="11527" max="11527" width="14" style="6" customWidth="1"/>
    <col min="11528" max="11529" width="12.7109375" style="6" bestFit="1" customWidth="1"/>
    <col min="11530" max="11530" width="13.7109375" style="6" customWidth="1"/>
    <col min="11531" max="11532" width="15.42578125" style="6" customWidth="1"/>
    <col min="11533" max="11533" width="16.140625" style="6" customWidth="1"/>
    <col min="11534" max="11534" width="16.28515625" style="6" customWidth="1"/>
    <col min="11535" max="11535" width="13.42578125" style="6" customWidth="1"/>
    <col min="11536" max="11778" width="11.42578125" style="6"/>
    <col min="11779" max="11779" width="36" style="6" customWidth="1"/>
    <col min="11780" max="11780" width="9" style="6" customWidth="1"/>
    <col min="11781" max="11781" width="11.7109375" style="6" bestFit="1" customWidth="1"/>
    <col min="11782" max="11782" width="12.7109375" style="6" bestFit="1" customWidth="1"/>
    <col min="11783" max="11783" width="14" style="6" customWidth="1"/>
    <col min="11784" max="11785" width="12.7109375" style="6" bestFit="1" customWidth="1"/>
    <col min="11786" max="11786" width="13.7109375" style="6" customWidth="1"/>
    <col min="11787" max="11788" width="15.42578125" style="6" customWidth="1"/>
    <col min="11789" max="11789" width="16.140625" style="6" customWidth="1"/>
    <col min="11790" max="11790" width="16.28515625" style="6" customWidth="1"/>
    <col min="11791" max="11791" width="13.42578125" style="6" customWidth="1"/>
    <col min="11792" max="12034" width="11.42578125" style="6"/>
    <col min="12035" max="12035" width="36" style="6" customWidth="1"/>
    <col min="12036" max="12036" width="9" style="6" customWidth="1"/>
    <col min="12037" max="12037" width="11.7109375" style="6" bestFit="1" customWidth="1"/>
    <col min="12038" max="12038" width="12.7109375" style="6" bestFit="1" customWidth="1"/>
    <col min="12039" max="12039" width="14" style="6" customWidth="1"/>
    <col min="12040" max="12041" width="12.7109375" style="6" bestFit="1" customWidth="1"/>
    <col min="12042" max="12042" width="13.7109375" style="6" customWidth="1"/>
    <col min="12043" max="12044" width="15.42578125" style="6" customWidth="1"/>
    <col min="12045" max="12045" width="16.140625" style="6" customWidth="1"/>
    <col min="12046" max="12046" width="16.28515625" style="6" customWidth="1"/>
    <col min="12047" max="12047" width="13.42578125" style="6" customWidth="1"/>
    <col min="12048" max="12290" width="11.42578125" style="6"/>
    <col min="12291" max="12291" width="36" style="6" customWidth="1"/>
    <col min="12292" max="12292" width="9" style="6" customWidth="1"/>
    <col min="12293" max="12293" width="11.7109375" style="6" bestFit="1" customWidth="1"/>
    <col min="12294" max="12294" width="12.7109375" style="6" bestFit="1" customWidth="1"/>
    <col min="12295" max="12295" width="14" style="6" customWidth="1"/>
    <col min="12296" max="12297" width="12.7109375" style="6" bestFit="1" customWidth="1"/>
    <col min="12298" max="12298" width="13.7109375" style="6" customWidth="1"/>
    <col min="12299" max="12300" width="15.42578125" style="6" customWidth="1"/>
    <col min="12301" max="12301" width="16.140625" style="6" customWidth="1"/>
    <col min="12302" max="12302" width="16.28515625" style="6" customWidth="1"/>
    <col min="12303" max="12303" width="13.42578125" style="6" customWidth="1"/>
    <col min="12304" max="12546" width="11.42578125" style="6"/>
    <col min="12547" max="12547" width="36" style="6" customWidth="1"/>
    <col min="12548" max="12548" width="9" style="6" customWidth="1"/>
    <col min="12549" max="12549" width="11.7109375" style="6" bestFit="1" customWidth="1"/>
    <col min="12550" max="12550" width="12.7109375" style="6" bestFit="1" customWidth="1"/>
    <col min="12551" max="12551" width="14" style="6" customWidth="1"/>
    <col min="12552" max="12553" width="12.7109375" style="6" bestFit="1" customWidth="1"/>
    <col min="12554" max="12554" width="13.7109375" style="6" customWidth="1"/>
    <col min="12555" max="12556" width="15.42578125" style="6" customWidth="1"/>
    <col min="12557" max="12557" width="16.140625" style="6" customWidth="1"/>
    <col min="12558" max="12558" width="16.28515625" style="6" customWidth="1"/>
    <col min="12559" max="12559" width="13.42578125" style="6" customWidth="1"/>
    <col min="12560" max="12802" width="11.42578125" style="6"/>
    <col min="12803" max="12803" width="36" style="6" customWidth="1"/>
    <col min="12804" max="12804" width="9" style="6" customWidth="1"/>
    <col min="12805" max="12805" width="11.7109375" style="6" bestFit="1" customWidth="1"/>
    <col min="12806" max="12806" width="12.7109375" style="6" bestFit="1" customWidth="1"/>
    <col min="12807" max="12807" width="14" style="6" customWidth="1"/>
    <col min="12808" max="12809" width="12.7109375" style="6" bestFit="1" customWidth="1"/>
    <col min="12810" max="12810" width="13.7109375" style="6" customWidth="1"/>
    <col min="12811" max="12812" width="15.42578125" style="6" customWidth="1"/>
    <col min="12813" max="12813" width="16.140625" style="6" customWidth="1"/>
    <col min="12814" max="12814" width="16.28515625" style="6" customWidth="1"/>
    <col min="12815" max="12815" width="13.42578125" style="6" customWidth="1"/>
    <col min="12816" max="13058" width="11.42578125" style="6"/>
    <col min="13059" max="13059" width="36" style="6" customWidth="1"/>
    <col min="13060" max="13060" width="9" style="6" customWidth="1"/>
    <col min="13061" max="13061" width="11.7109375" style="6" bestFit="1" customWidth="1"/>
    <col min="13062" max="13062" width="12.7109375" style="6" bestFit="1" customWidth="1"/>
    <col min="13063" max="13063" width="14" style="6" customWidth="1"/>
    <col min="13064" max="13065" width="12.7109375" style="6" bestFit="1" customWidth="1"/>
    <col min="13066" max="13066" width="13.7109375" style="6" customWidth="1"/>
    <col min="13067" max="13068" width="15.42578125" style="6" customWidth="1"/>
    <col min="13069" max="13069" width="16.140625" style="6" customWidth="1"/>
    <col min="13070" max="13070" width="16.28515625" style="6" customWidth="1"/>
    <col min="13071" max="13071" width="13.42578125" style="6" customWidth="1"/>
    <col min="13072" max="13314" width="11.42578125" style="6"/>
    <col min="13315" max="13315" width="36" style="6" customWidth="1"/>
    <col min="13316" max="13316" width="9" style="6" customWidth="1"/>
    <col min="13317" max="13317" width="11.7109375" style="6" bestFit="1" customWidth="1"/>
    <col min="13318" max="13318" width="12.7109375" style="6" bestFit="1" customWidth="1"/>
    <col min="13319" max="13319" width="14" style="6" customWidth="1"/>
    <col min="13320" max="13321" width="12.7109375" style="6" bestFit="1" customWidth="1"/>
    <col min="13322" max="13322" width="13.7109375" style="6" customWidth="1"/>
    <col min="13323" max="13324" width="15.42578125" style="6" customWidth="1"/>
    <col min="13325" max="13325" width="16.140625" style="6" customWidth="1"/>
    <col min="13326" max="13326" width="16.28515625" style="6" customWidth="1"/>
    <col min="13327" max="13327" width="13.42578125" style="6" customWidth="1"/>
    <col min="13328" max="13570" width="11.42578125" style="6"/>
    <col min="13571" max="13571" width="36" style="6" customWidth="1"/>
    <col min="13572" max="13572" width="9" style="6" customWidth="1"/>
    <col min="13573" max="13573" width="11.7109375" style="6" bestFit="1" customWidth="1"/>
    <col min="13574" max="13574" width="12.7109375" style="6" bestFit="1" customWidth="1"/>
    <col min="13575" max="13575" width="14" style="6" customWidth="1"/>
    <col min="13576" max="13577" width="12.7109375" style="6" bestFit="1" customWidth="1"/>
    <col min="13578" max="13578" width="13.7109375" style="6" customWidth="1"/>
    <col min="13579" max="13580" width="15.42578125" style="6" customWidth="1"/>
    <col min="13581" max="13581" width="16.140625" style="6" customWidth="1"/>
    <col min="13582" max="13582" width="16.28515625" style="6" customWidth="1"/>
    <col min="13583" max="13583" width="13.42578125" style="6" customWidth="1"/>
    <col min="13584" max="13826" width="11.42578125" style="6"/>
    <col min="13827" max="13827" width="36" style="6" customWidth="1"/>
    <col min="13828" max="13828" width="9" style="6" customWidth="1"/>
    <col min="13829" max="13829" width="11.7109375" style="6" bestFit="1" customWidth="1"/>
    <col min="13830" max="13830" width="12.7109375" style="6" bestFit="1" customWidth="1"/>
    <col min="13831" max="13831" width="14" style="6" customWidth="1"/>
    <col min="13832" max="13833" width="12.7109375" style="6" bestFit="1" customWidth="1"/>
    <col min="13834" max="13834" width="13.7109375" style="6" customWidth="1"/>
    <col min="13835" max="13836" width="15.42578125" style="6" customWidth="1"/>
    <col min="13837" max="13837" width="16.140625" style="6" customWidth="1"/>
    <col min="13838" max="13838" width="16.28515625" style="6" customWidth="1"/>
    <col min="13839" max="13839" width="13.42578125" style="6" customWidth="1"/>
    <col min="13840" max="14082" width="11.42578125" style="6"/>
    <col min="14083" max="14083" width="36" style="6" customWidth="1"/>
    <col min="14084" max="14084" width="9" style="6" customWidth="1"/>
    <col min="14085" max="14085" width="11.7109375" style="6" bestFit="1" customWidth="1"/>
    <col min="14086" max="14086" width="12.7109375" style="6" bestFit="1" customWidth="1"/>
    <col min="14087" max="14087" width="14" style="6" customWidth="1"/>
    <col min="14088" max="14089" width="12.7109375" style="6" bestFit="1" customWidth="1"/>
    <col min="14090" max="14090" width="13.7109375" style="6" customWidth="1"/>
    <col min="14091" max="14092" width="15.42578125" style="6" customWidth="1"/>
    <col min="14093" max="14093" width="16.140625" style="6" customWidth="1"/>
    <col min="14094" max="14094" width="16.28515625" style="6" customWidth="1"/>
    <col min="14095" max="14095" width="13.42578125" style="6" customWidth="1"/>
    <col min="14096" max="14338" width="11.42578125" style="6"/>
    <col min="14339" max="14339" width="36" style="6" customWidth="1"/>
    <col min="14340" max="14340" width="9" style="6" customWidth="1"/>
    <col min="14341" max="14341" width="11.7109375" style="6" bestFit="1" customWidth="1"/>
    <col min="14342" max="14342" width="12.7109375" style="6" bestFit="1" customWidth="1"/>
    <col min="14343" max="14343" width="14" style="6" customWidth="1"/>
    <col min="14344" max="14345" width="12.7109375" style="6" bestFit="1" customWidth="1"/>
    <col min="14346" max="14346" width="13.7109375" style="6" customWidth="1"/>
    <col min="14347" max="14348" width="15.42578125" style="6" customWidth="1"/>
    <col min="14349" max="14349" width="16.140625" style="6" customWidth="1"/>
    <col min="14350" max="14350" width="16.28515625" style="6" customWidth="1"/>
    <col min="14351" max="14351" width="13.42578125" style="6" customWidth="1"/>
    <col min="14352" max="14594" width="11.42578125" style="6"/>
    <col min="14595" max="14595" width="36" style="6" customWidth="1"/>
    <col min="14596" max="14596" width="9" style="6" customWidth="1"/>
    <col min="14597" max="14597" width="11.7109375" style="6" bestFit="1" customWidth="1"/>
    <col min="14598" max="14598" width="12.7109375" style="6" bestFit="1" customWidth="1"/>
    <col min="14599" max="14599" width="14" style="6" customWidth="1"/>
    <col min="14600" max="14601" width="12.7109375" style="6" bestFit="1" customWidth="1"/>
    <col min="14602" max="14602" width="13.7109375" style="6" customWidth="1"/>
    <col min="14603" max="14604" width="15.42578125" style="6" customWidth="1"/>
    <col min="14605" max="14605" width="16.140625" style="6" customWidth="1"/>
    <col min="14606" max="14606" width="16.28515625" style="6" customWidth="1"/>
    <col min="14607" max="14607" width="13.42578125" style="6" customWidth="1"/>
    <col min="14608" max="14850" width="11.42578125" style="6"/>
    <col min="14851" max="14851" width="36" style="6" customWidth="1"/>
    <col min="14852" max="14852" width="9" style="6" customWidth="1"/>
    <col min="14853" max="14853" width="11.7109375" style="6" bestFit="1" customWidth="1"/>
    <col min="14854" max="14854" width="12.7109375" style="6" bestFit="1" customWidth="1"/>
    <col min="14855" max="14855" width="14" style="6" customWidth="1"/>
    <col min="14856" max="14857" width="12.7109375" style="6" bestFit="1" customWidth="1"/>
    <col min="14858" max="14858" width="13.7109375" style="6" customWidth="1"/>
    <col min="14859" max="14860" width="15.42578125" style="6" customWidth="1"/>
    <col min="14861" max="14861" width="16.140625" style="6" customWidth="1"/>
    <col min="14862" max="14862" width="16.28515625" style="6" customWidth="1"/>
    <col min="14863" max="14863" width="13.42578125" style="6" customWidth="1"/>
    <col min="14864" max="15106" width="11.42578125" style="6"/>
    <col min="15107" max="15107" width="36" style="6" customWidth="1"/>
    <col min="15108" max="15108" width="9" style="6" customWidth="1"/>
    <col min="15109" max="15109" width="11.7109375" style="6" bestFit="1" customWidth="1"/>
    <col min="15110" max="15110" width="12.7109375" style="6" bestFit="1" customWidth="1"/>
    <col min="15111" max="15111" width="14" style="6" customWidth="1"/>
    <col min="15112" max="15113" width="12.7109375" style="6" bestFit="1" customWidth="1"/>
    <col min="15114" max="15114" width="13.7109375" style="6" customWidth="1"/>
    <col min="15115" max="15116" width="15.42578125" style="6" customWidth="1"/>
    <col min="15117" max="15117" width="16.140625" style="6" customWidth="1"/>
    <col min="15118" max="15118" width="16.28515625" style="6" customWidth="1"/>
    <col min="15119" max="15119" width="13.42578125" style="6" customWidth="1"/>
    <col min="15120" max="15362" width="11.42578125" style="6"/>
    <col min="15363" max="15363" width="36" style="6" customWidth="1"/>
    <col min="15364" max="15364" width="9" style="6" customWidth="1"/>
    <col min="15365" max="15365" width="11.7109375" style="6" bestFit="1" customWidth="1"/>
    <col min="15366" max="15366" width="12.7109375" style="6" bestFit="1" customWidth="1"/>
    <col min="15367" max="15367" width="14" style="6" customWidth="1"/>
    <col min="15368" max="15369" width="12.7109375" style="6" bestFit="1" customWidth="1"/>
    <col min="15370" max="15370" width="13.7109375" style="6" customWidth="1"/>
    <col min="15371" max="15372" width="15.42578125" style="6" customWidth="1"/>
    <col min="15373" max="15373" width="16.140625" style="6" customWidth="1"/>
    <col min="15374" max="15374" width="16.28515625" style="6" customWidth="1"/>
    <col min="15375" max="15375" width="13.42578125" style="6" customWidth="1"/>
    <col min="15376" max="15618" width="11.42578125" style="6"/>
    <col min="15619" max="15619" width="36" style="6" customWidth="1"/>
    <col min="15620" max="15620" width="9" style="6" customWidth="1"/>
    <col min="15621" max="15621" width="11.7109375" style="6" bestFit="1" customWidth="1"/>
    <col min="15622" max="15622" width="12.7109375" style="6" bestFit="1" customWidth="1"/>
    <col min="15623" max="15623" width="14" style="6" customWidth="1"/>
    <col min="15624" max="15625" width="12.7109375" style="6" bestFit="1" customWidth="1"/>
    <col min="15626" max="15626" width="13.7109375" style="6" customWidth="1"/>
    <col min="15627" max="15628" width="15.42578125" style="6" customWidth="1"/>
    <col min="15629" max="15629" width="16.140625" style="6" customWidth="1"/>
    <col min="15630" max="15630" width="16.28515625" style="6" customWidth="1"/>
    <col min="15631" max="15631" width="13.42578125" style="6" customWidth="1"/>
    <col min="15632" max="15874" width="11.42578125" style="6"/>
    <col min="15875" max="15875" width="36" style="6" customWidth="1"/>
    <col min="15876" max="15876" width="9" style="6" customWidth="1"/>
    <col min="15877" max="15877" width="11.7109375" style="6" bestFit="1" customWidth="1"/>
    <col min="15878" max="15878" width="12.7109375" style="6" bestFit="1" customWidth="1"/>
    <col min="15879" max="15879" width="14" style="6" customWidth="1"/>
    <col min="15880" max="15881" width="12.7109375" style="6" bestFit="1" customWidth="1"/>
    <col min="15882" max="15882" width="13.7109375" style="6" customWidth="1"/>
    <col min="15883" max="15884" width="15.42578125" style="6" customWidth="1"/>
    <col min="15885" max="15885" width="16.140625" style="6" customWidth="1"/>
    <col min="15886" max="15886" width="16.28515625" style="6" customWidth="1"/>
    <col min="15887" max="15887" width="13.42578125" style="6" customWidth="1"/>
    <col min="15888" max="16130" width="11.42578125" style="6"/>
    <col min="16131" max="16131" width="36" style="6" customWidth="1"/>
    <col min="16132" max="16132" width="9" style="6" customWidth="1"/>
    <col min="16133" max="16133" width="11.7109375" style="6" bestFit="1" customWidth="1"/>
    <col min="16134" max="16134" width="12.7109375" style="6" bestFit="1" customWidth="1"/>
    <col min="16135" max="16135" width="14" style="6" customWidth="1"/>
    <col min="16136" max="16137" width="12.7109375" style="6" bestFit="1" customWidth="1"/>
    <col min="16138" max="16138" width="13.7109375" style="6" customWidth="1"/>
    <col min="16139" max="16140" width="15.42578125" style="6" customWidth="1"/>
    <col min="16141" max="16141" width="16.140625" style="6" customWidth="1"/>
    <col min="16142" max="16142" width="16.28515625" style="6" customWidth="1"/>
    <col min="16143" max="16143" width="13.42578125" style="6" customWidth="1"/>
    <col min="16144" max="16384" width="11.42578125" style="6"/>
  </cols>
  <sheetData>
    <row r="1" spans="1:17" ht="12.75">
      <c r="A1" s="947" t="s">
        <v>25</v>
      </c>
      <c r="B1" s="947"/>
      <c r="C1" s="947"/>
      <c r="D1" s="947"/>
      <c r="E1" s="947"/>
      <c r="F1" s="947"/>
      <c r="G1" s="947"/>
      <c r="H1" s="947"/>
      <c r="I1" s="947"/>
      <c r="J1" s="947"/>
      <c r="K1" s="947"/>
      <c r="L1" s="947"/>
      <c r="M1" s="947"/>
      <c r="N1" s="947"/>
      <c r="O1" s="947"/>
      <c r="P1" s="5"/>
      <c r="Q1" s="5"/>
    </row>
    <row r="2" spans="1:17" ht="12.75">
      <c r="A2" s="829" t="s">
        <v>26</v>
      </c>
      <c r="B2" s="829"/>
      <c r="C2" s="829"/>
      <c r="D2" s="829"/>
      <c r="E2" s="829"/>
      <c r="F2" s="829"/>
      <c r="G2" s="829"/>
      <c r="H2" s="829"/>
      <c r="I2" s="829"/>
      <c r="J2" s="829"/>
      <c r="K2" s="829"/>
      <c r="L2" s="829"/>
      <c r="M2" s="829"/>
      <c r="N2" s="829"/>
      <c r="O2" s="829"/>
      <c r="P2" s="7"/>
      <c r="Q2" s="7"/>
    </row>
    <row r="3" spans="1:17" ht="12.75">
      <c r="A3" s="829" t="s">
        <v>27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  <c r="M3" s="829"/>
      <c r="N3" s="829"/>
      <c r="O3" s="829"/>
      <c r="P3" s="8"/>
      <c r="Q3" s="8"/>
    </row>
    <row r="4" spans="1:17" ht="13.5" thickBot="1">
      <c r="A4" s="829" t="s">
        <v>28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  <c r="M4" s="829"/>
      <c r="N4" s="829"/>
      <c r="O4" s="829"/>
      <c r="P4" s="8"/>
      <c r="Q4" s="8"/>
    </row>
    <row r="5" spans="1:17" ht="15" customHeight="1">
      <c r="A5" s="949" t="s">
        <v>58</v>
      </c>
      <c r="B5" s="951" t="s">
        <v>36</v>
      </c>
      <c r="C5" s="953" t="s">
        <v>37</v>
      </c>
      <c r="D5" s="953" t="s">
        <v>38</v>
      </c>
      <c r="E5" s="961" t="s">
        <v>30</v>
      </c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63"/>
    </row>
    <row r="6" spans="1:17" ht="15.75" thickBot="1">
      <c r="A6" s="950" t="s">
        <v>29</v>
      </c>
      <c r="B6" s="952"/>
      <c r="C6" s="952"/>
      <c r="D6" s="952" t="s">
        <v>31</v>
      </c>
      <c r="E6" s="713">
        <v>21</v>
      </c>
      <c r="F6" s="713">
        <v>22</v>
      </c>
      <c r="G6" s="713">
        <v>26</v>
      </c>
      <c r="H6" s="713">
        <v>27</v>
      </c>
      <c r="I6" s="713">
        <v>29</v>
      </c>
      <c r="J6" s="713">
        <v>71</v>
      </c>
      <c r="K6" s="713">
        <v>72</v>
      </c>
      <c r="L6" s="714">
        <v>73</v>
      </c>
      <c r="M6" s="715">
        <v>413</v>
      </c>
      <c r="N6" s="715">
        <v>415</v>
      </c>
      <c r="O6" s="715">
        <v>133</v>
      </c>
      <c r="P6" s="716">
        <v>61</v>
      </c>
    </row>
    <row r="7" spans="1:17">
      <c r="A7" s="142" t="s">
        <v>59</v>
      </c>
      <c r="B7" s="316">
        <v>1</v>
      </c>
      <c r="C7" s="317">
        <v>25000</v>
      </c>
      <c r="D7" s="318" t="s">
        <v>32</v>
      </c>
      <c r="E7" s="317"/>
      <c r="F7" s="317">
        <f>+C7*12</f>
        <v>300000</v>
      </c>
      <c r="G7" s="317"/>
      <c r="H7" s="317">
        <f>250*12</f>
        <v>3000</v>
      </c>
      <c r="I7" s="317"/>
      <c r="J7" s="317">
        <v>25000</v>
      </c>
      <c r="K7" s="317">
        <f>+C7</f>
        <v>25000</v>
      </c>
      <c r="L7" s="317">
        <v>200</v>
      </c>
      <c r="M7" s="317"/>
      <c r="N7" s="317"/>
      <c r="O7" s="317"/>
      <c r="P7" s="319"/>
    </row>
    <row r="8" spans="1:17">
      <c r="A8" s="3" t="s">
        <v>60</v>
      </c>
      <c r="B8" s="243">
        <v>1</v>
      </c>
      <c r="C8" s="9">
        <v>16000</v>
      </c>
      <c r="D8" s="10" t="s">
        <v>32</v>
      </c>
      <c r="E8" s="9"/>
      <c r="F8" s="9">
        <f>+C8*12</f>
        <v>192000</v>
      </c>
      <c r="G8" s="9"/>
      <c r="H8" s="9">
        <f>250*12</f>
        <v>3000</v>
      </c>
      <c r="I8" s="9"/>
      <c r="J8" s="9">
        <v>16000</v>
      </c>
      <c r="K8" s="9">
        <f>+C8</f>
        <v>16000</v>
      </c>
      <c r="L8" s="9">
        <v>200</v>
      </c>
      <c r="M8" s="9"/>
      <c r="N8" s="9"/>
      <c r="O8" s="9"/>
      <c r="P8" s="320"/>
    </row>
    <row r="9" spans="1:17">
      <c r="A9" s="3" t="s">
        <v>61</v>
      </c>
      <c r="B9" s="243">
        <v>1</v>
      </c>
      <c r="C9" s="9">
        <v>13500</v>
      </c>
      <c r="D9" s="10" t="s">
        <v>32</v>
      </c>
      <c r="E9" s="9"/>
      <c r="F9" s="9">
        <f>+C9*12</f>
        <v>162000</v>
      </c>
      <c r="G9" s="9"/>
      <c r="H9" s="9">
        <f>250*12</f>
        <v>3000</v>
      </c>
      <c r="I9" s="9"/>
      <c r="J9" s="9">
        <v>13500</v>
      </c>
      <c r="K9" s="9">
        <f>+C9</f>
        <v>13500</v>
      </c>
      <c r="L9" s="9">
        <v>200</v>
      </c>
      <c r="M9" s="9"/>
      <c r="N9" s="9"/>
      <c r="O9" s="9"/>
      <c r="P9" s="320"/>
    </row>
    <row r="10" spans="1:17">
      <c r="A10" s="3" t="s">
        <v>62</v>
      </c>
      <c r="B10" s="243">
        <v>1</v>
      </c>
      <c r="C10" s="9">
        <v>8500</v>
      </c>
      <c r="D10" s="10" t="s">
        <v>32</v>
      </c>
      <c r="E10" s="9"/>
      <c r="F10" s="9">
        <f>+C10*12</f>
        <v>102000</v>
      </c>
      <c r="G10" s="9">
        <f>375*12</f>
        <v>4500</v>
      </c>
      <c r="H10" s="9">
        <f>250*12</f>
        <v>3000</v>
      </c>
      <c r="I10" s="9"/>
      <c r="J10" s="9">
        <f>8500+375</f>
        <v>8875</v>
      </c>
      <c r="K10" s="9">
        <f>8500+375</f>
        <v>8875</v>
      </c>
      <c r="L10" s="9">
        <v>200</v>
      </c>
      <c r="M10" s="9"/>
      <c r="N10" s="9"/>
      <c r="O10" s="9"/>
      <c r="P10" s="320"/>
    </row>
    <row r="11" spans="1:17" s="12" customFormat="1">
      <c r="A11" s="3" t="s">
        <v>63</v>
      </c>
      <c r="B11" s="176">
        <v>1</v>
      </c>
      <c r="C11" s="11">
        <v>9387</v>
      </c>
      <c r="D11" s="10" t="s">
        <v>32</v>
      </c>
      <c r="E11" s="11">
        <f>9387*12</f>
        <v>112644</v>
      </c>
      <c r="F11" s="10"/>
      <c r="G11" s="11"/>
      <c r="H11" s="11">
        <f>(2500+250)*12</f>
        <v>33000</v>
      </c>
      <c r="I11" s="11"/>
      <c r="J11" s="11">
        <v>11887</v>
      </c>
      <c r="K11" s="11">
        <f>+C11+2500</f>
        <v>11887</v>
      </c>
      <c r="L11" s="11">
        <v>200</v>
      </c>
      <c r="M11" s="11"/>
      <c r="N11" s="11"/>
      <c r="O11" s="11"/>
      <c r="P11" s="242"/>
    </row>
    <row r="12" spans="1:17" s="12" customFormat="1">
      <c r="A12" s="3" t="s">
        <v>64</v>
      </c>
      <c r="B12" s="176">
        <v>1</v>
      </c>
      <c r="C12" s="11">
        <v>5011</v>
      </c>
      <c r="D12" s="10" t="s">
        <v>32</v>
      </c>
      <c r="E12" s="11">
        <f>5011*12</f>
        <v>60132</v>
      </c>
      <c r="F12" s="10"/>
      <c r="G12" s="11"/>
      <c r="H12" s="11">
        <f>(1000+250)*12</f>
        <v>15000</v>
      </c>
      <c r="I12" s="11"/>
      <c r="J12" s="11">
        <v>6011</v>
      </c>
      <c r="K12" s="11">
        <f>+C12+1000</f>
        <v>6011</v>
      </c>
      <c r="L12" s="11">
        <v>200</v>
      </c>
      <c r="M12" s="11"/>
      <c r="N12" s="11"/>
      <c r="O12" s="11"/>
      <c r="P12" s="242"/>
    </row>
    <row r="13" spans="1:17" s="12" customFormat="1">
      <c r="A13" s="3" t="s">
        <v>55</v>
      </c>
      <c r="B13" s="176">
        <v>1</v>
      </c>
      <c r="C13" s="11">
        <v>3200</v>
      </c>
      <c r="D13" s="10" t="s">
        <v>32</v>
      </c>
      <c r="E13" s="11">
        <f>3200*12</f>
        <v>38400</v>
      </c>
      <c r="F13" s="10"/>
      <c r="G13" s="11"/>
      <c r="H13" s="11">
        <f>(1500+250)*12</f>
        <v>21000</v>
      </c>
      <c r="I13" s="11"/>
      <c r="J13" s="11">
        <v>4700</v>
      </c>
      <c r="K13" s="11">
        <f>+C13+1500</f>
        <v>4700</v>
      </c>
      <c r="L13" s="11">
        <v>200</v>
      </c>
      <c r="M13" s="11"/>
      <c r="N13" s="11"/>
      <c r="O13" s="11"/>
      <c r="P13" s="242"/>
    </row>
    <row r="14" spans="1:17" s="12" customFormat="1">
      <c r="A14" s="3" t="s">
        <v>52</v>
      </c>
      <c r="B14" s="176">
        <v>1</v>
      </c>
      <c r="C14" s="11">
        <v>3200</v>
      </c>
      <c r="D14" s="10" t="s">
        <v>32</v>
      </c>
      <c r="E14" s="11">
        <f>+C14*12</f>
        <v>38400</v>
      </c>
      <c r="F14" s="10"/>
      <c r="G14" s="11">
        <f>375*12</f>
        <v>4500</v>
      </c>
      <c r="H14" s="11">
        <f>(1500+250)*12</f>
        <v>21000</v>
      </c>
      <c r="I14" s="11"/>
      <c r="J14" s="11">
        <f>4700+375</f>
        <v>5075</v>
      </c>
      <c r="K14" s="11">
        <f>4700+375</f>
        <v>5075</v>
      </c>
      <c r="L14" s="11">
        <v>200</v>
      </c>
      <c r="M14" s="11"/>
      <c r="N14" s="11"/>
      <c r="O14" s="11"/>
      <c r="P14" s="321"/>
    </row>
    <row r="15" spans="1:17" s="12" customFormat="1">
      <c r="A15" s="3" t="s">
        <v>65</v>
      </c>
      <c r="B15" s="176">
        <v>1</v>
      </c>
      <c r="C15" s="11">
        <v>3200</v>
      </c>
      <c r="D15" s="10" t="s">
        <v>32</v>
      </c>
      <c r="E15" s="11">
        <f>+C15*12</f>
        <v>38400</v>
      </c>
      <c r="F15" s="10"/>
      <c r="G15" s="11"/>
      <c r="H15" s="11">
        <f>(1500+250)*12</f>
        <v>21000</v>
      </c>
      <c r="I15" s="11"/>
      <c r="J15" s="11">
        <v>4700</v>
      </c>
      <c r="K15" s="11">
        <v>4700</v>
      </c>
      <c r="L15" s="11">
        <v>200</v>
      </c>
      <c r="M15" s="11"/>
      <c r="N15" s="11"/>
      <c r="O15" s="11"/>
      <c r="P15" s="242"/>
    </row>
    <row r="16" spans="1:17" s="12" customFormat="1">
      <c r="A16" s="3" t="s">
        <v>66</v>
      </c>
      <c r="B16" s="176">
        <v>1</v>
      </c>
      <c r="C16" s="11">
        <v>1900</v>
      </c>
      <c r="D16" s="10" t="s">
        <v>32</v>
      </c>
      <c r="E16" s="11">
        <f>1900*12</f>
        <v>22800</v>
      </c>
      <c r="F16" s="10"/>
      <c r="G16" s="11"/>
      <c r="H16" s="11">
        <f>(1500+250)*12</f>
        <v>21000</v>
      </c>
      <c r="I16" s="11"/>
      <c r="J16" s="11">
        <v>3400</v>
      </c>
      <c r="K16" s="11">
        <f>+C16+1500</f>
        <v>3400</v>
      </c>
      <c r="L16" s="11">
        <v>200</v>
      </c>
      <c r="M16" s="11"/>
      <c r="N16" s="11"/>
      <c r="O16" s="11"/>
      <c r="P16" s="242"/>
    </row>
    <row r="17" spans="1:16" ht="33.75">
      <c r="A17" s="2" t="s">
        <v>67</v>
      </c>
      <c r="B17" s="176">
        <v>1</v>
      </c>
      <c r="C17" s="11">
        <v>17000</v>
      </c>
      <c r="D17" s="10" t="s">
        <v>32</v>
      </c>
      <c r="E17" s="9"/>
      <c r="F17" s="9"/>
      <c r="G17" s="9"/>
      <c r="H17" s="9"/>
      <c r="I17" s="11">
        <f>+C17*12</f>
        <v>204000</v>
      </c>
      <c r="J17" s="9"/>
      <c r="K17" s="9"/>
      <c r="L17" s="9"/>
      <c r="M17" s="9"/>
      <c r="N17" s="9"/>
      <c r="O17" s="9"/>
      <c r="P17" s="322"/>
    </row>
    <row r="18" spans="1:16" ht="22.5">
      <c r="A18" s="2" t="s">
        <v>68</v>
      </c>
      <c r="B18" s="176">
        <v>1</v>
      </c>
      <c r="C18" s="11">
        <v>7500</v>
      </c>
      <c r="D18" s="10" t="s">
        <v>32</v>
      </c>
      <c r="E18" s="9"/>
      <c r="F18" s="9"/>
      <c r="G18" s="9"/>
      <c r="H18" s="9"/>
      <c r="I18" s="11">
        <f>+C18*12</f>
        <v>90000</v>
      </c>
      <c r="J18" s="9"/>
      <c r="K18" s="9"/>
      <c r="L18" s="9"/>
      <c r="M18" s="9"/>
      <c r="N18" s="9"/>
      <c r="O18" s="9"/>
      <c r="P18" s="320"/>
    </row>
    <row r="19" spans="1:16" ht="22.5">
      <c r="A19" s="2" t="s">
        <v>69</v>
      </c>
      <c r="B19" s="176">
        <v>1</v>
      </c>
      <c r="C19" s="11">
        <v>10000</v>
      </c>
      <c r="D19" s="10" t="s">
        <v>32</v>
      </c>
      <c r="E19" s="9"/>
      <c r="F19" s="9"/>
      <c r="G19" s="9"/>
      <c r="H19" s="9"/>
      <c r="I19" s="11">
        <f>+C19*12</f>
        <v>120000</v>
      </c>
      <c r="J19" s="9"/>
      <c r="K19" s="9"/>
      <c r="L19" s="9"/>
      <c r="M19" s="9"/>
      <c r="N19" s="9"/>
      <c r="O19" s="9"/>
      <c r="P19" s="320"/>
    </row>
    <row r="20" spans="1:16" ht="22.5">
      <c r="A20" s="2" t="s">
        <v>69</v>
      </c>
      <c r="B20" s="241">
        <v>1</v>
      </c>
      <c r="C20" s="11">
        <v>10000</v>
      </c>
      <c r="D20" s="10" t="s">
        <v>32</v>
      </c>
      <c r="E20" s="9"/>
      <c r="F20" s="9"/>
      <c r="G20" s="9"/>
      <c r="H20" s="9"/>
      <c r="I20" s="11">
        <f>+C20*12</f>
        <v>120000</v>
      </c>
      <c r="J20" s="9"/>
      <c r="K20" s="9"/>
      <c r="L20" s="9"/>
      <c r="M20" s="9"/>
      <c r="N20" s="9"/>
      <c r="O20" s="9"/>
      <c r="P20" s="320"/>
    </row>
    <row r="21" spans="1:16" ht="22.5">
      <c r="A21" s="2" t="s">
        <v>70</v>
      </c>
      <c r="B21" s="241">
        <v>1</v>
      </c>
      <c r="C21" s="11">
        <v>8000</v>
      </c>
      <c r="D21" s="10" t="s">
        <v>32</v>
      </c>
      <c r="E21" s="9"/>
      <c r="F21" s="9"/>
      <c r="G21" s="9"/>
      <c r="H21" s="9"/>
      <c r="I21" s="11">
        <f t="shared" ref="I21:I38" si="0">C21*12</f>
        <v>96000</v>
      </c>
      <c r="J21" s="9"/>
      <c r="K21" s="9"/>
      <c r="L21" s="9"/>
      <c r="M21" s="9"/>
      <c r="N21" s="9"/>
      <c r="O21" s="9"/>
      <c r="P21" s="320"/>
    </row>
    <row r="22" spans="1:16" ht="22.5">
      <c r="A22" s="2" t="s">
        <v>71</v>
      </c>
      <c r="B22" s="241">
        <v>1</v>
      </c>
      <c r="C22" s="11">
        <v>5000</v>
      </c>
      <c r="D22" s="10" t="s">
        <v>32</v>
      </c>
      <c r="E22" s="9"/>
      <c r="F22" s="9"/>
      <c r="G22" s="9"/>
      <c r="H22" s="9"/>
      <c r="I22" s="11">
        <f t="shared" si="0"/>
        <v>60000</v>
      </c>
      <c r="J22" s="9"/>
      <c r="K22" s="9"/>
      <c r="L22" s="9"/>
      <c r="M22" s="9"/>
      <c r="N22" s="9"/>
      <c r="O22" s="9"/>
      <c r="P22" s="320"/>
    </row>
    <row r="23" spans="1:16" ht="22.5">
      <c r="A23" s="2" t="s">
        <v>71</v>
      </c>
      <c r="B23" s="241">
        <v>1</v>
      </c>
      <c r="C23" s="11">
        <v>5000</v>
      </c>
      <c r="D23" s="10" t="s">
        <v>32</v>
      </c>
      <c r="E23" s="9"/>
      <c r="F23" s="9"/>
      <c r="G23" s="9"/>
      <c r="H23" s="9"/>
      <c r="I23" s="11">
        <f t="shared" si="0"/>
        <v>60000</v>
      </c>
      <c r="J23" s="9"/>
      <c r="K23" s="9"/>
      <c r="L23" s="9"/>
      <c r="M23" s="9"/>
      <c r="N23" s="9"/>
      <c r="O23" s="9"/>
      <c r="P23" s="320"/>
    </row>
    <row r="24" spans="1:16" ht="22.5">
      <c r="A24" s="2" t="s">
        <v>72</v>
      </c>
      <c r="B24" s="241">
        <v>1</v>
      </c>
      <c r="C24" s="11">
        <v>5000</v>
      </c>
      <c r="D24" s="10" t="s">
        <v>32</v>
      </c>
      <c r="E24" s="9"/>
      <c r="F24" s="9"/>
      <c r="G24" s="9"/>
      <c r="H24" s="9"/>
      <c r="I24" s="11">
        <f t="shared" si="0"/>
        <v>60000</v>
      </c>
      <c r="J24" s="9"/>
      <c r="K24" s="9"/>
      <c r="L24" s="9"/>
      <c r="M24" s="9"/>
      <c r="N24" s="9"/>
      <c r="O24" s="9"/>
      <c r="P24" s="320"/>
    </row>
    <row r="25" spans="1:16" ht="22.5">
      <c r="A25" s="2" t="s">
        <v>69</v>
      </c>
      <c r="B25" s="241">
        <v>1</v>
      </c>
      <c r="C25" s="11">
        <v>6000</v>
      </c>
      <c r="D25" s="10" t="s">
        <v>32</v>
      </c>
      <c r="E25" s="9"/>
      <c r="F25" s="9"/>
      <c r="G25" s="9"/>
      <c r="H25" s="9"/>
      <c r="I25" s="11">
        <f t="shared" si="0"/>
        <v>72000</v>
      </c>
      <c r="J25" s="9"/>
      <c r="K25" s="9"/>
      <c r="L25" s="9"/>
      <c r="M25" s="9"/>
      <c r="N25" s="9"/>
      <c r="O25" s="9"/>
      <c r="P25" s="320"/>
    </row>
    <row r="26" spans="1:16" ht="33.75">
      <c r="A26" s="2" t="s">
        <v>73</v>
      </c>
      <c r="B26" s="241">
        <v>1</v>
      </c>
      <c r="C26" s="11">
        <v>10000</v>
      </c>
      <c r="D26" s="10" t="s">
        <v>32</v>
      </c>
      <c r="E26" s="9"/>
      <c r="F26" s="9"/>
      <c r="G26" s="9"/>
      <c r="H26" s="9"/>
      <c r="I26" s="11">
        <f t="shared" si="0"/>
        <v>120000</v>
      </c>
      <c r="J26" s="9"/>
      <c r="K26" s="9"/>
      <c r="L26" s="9"/>
      <c r="M26" s="9"/>
      <c r="N26" s="9"/>
      <c r="O26" s="9"/>
      <c r="P26" s="320"/>
    </row>
    <row r="27" spans="1:16" ht="22.5">
      <c r="A27" s="2" t="s">
        <v>74</v>
      </c>
      <c r="B27" s="241">
        <v>1</v>
      </c>
      <c r="C27" s="11">
        <v>20000</v>
      </c>
      <c r="D27" s="10" t="s">
        <v>32</v>
      </c>
      <c r="E27" s="9"/>
      <c r="F27" s="9"/>
      <c r="G27" s="9"/>
      <c r="H27" s="9"/>
      <c r="I27" s="11">
        <f t="shared" si="0"/>
        <v>240000</v>
      </c>
      <c r="J27" s="9"/>
      <c r="K27" s="9"/>
      <c r="L27" s="9"/>
      <c r="M27" s="9"/>
      <c r="N27" s="9"/>
      <c r="O27" s="9"/>
      <c r="P27" s="320"/>
    </row>
    <row r="28" spans="1:16" ht="22.5">
      <c r="A28" s="2" t="s">
        <v>75</v>
      </c>
      <c r="B28" s="241">
        <v>1</v>
      </c>
      <c r="C28" s="11">
        <v>8000</v>
      </c>
      <c r="D28" s="10" t="s">
        <v>32</v>
      </c>
      <c r="E28" s="9"/>
      <c r="F28" s="9"/>
      <c r="G28" s="9"/>
      <c r="H28" s="9"/>
      <c r="I28" s="11">
        <f t="shared" si="0"/>
        <v>96000</v>
      </c>
      <c r="J28" s="9"/>
      <c r="K28" s="9"/>
      <c r="L28" s="9"/>
      <c r="M28" s="9"/>
      <c r="N28" s="9"/>
      <c r="O28" s="9"/>
      <c r="P28" s="320"/>
    </row>
    <row r="29" spans="1:16" s="12" customFormat="1" ht="22.5">
      <c r="A29" s="2" t="s">
        <v>76</v>
      </c>
      <c r="B29" s="241">
        <v>1</v>
      </c>
      <c r="C29" s="11">
        <v>20000</v>
      </c>
      <c r="D29" s="10" t="s">
        <v>32</v>
      </c>
      <c r="E29" s="11"/>
      <c r="F29" s="11"/>
      <c r="G29" s="11"/>
      <c r="H29" s="11"/>
      <c r="I29" s="11">
        <f t="shared" si="0"/>
        <v>240000</v>
      </c>
      <c r="J29" s="11"/>
      <c r="K29" s="11"/>
      <c r="L29" s="11"/>
      <c r="M29" s="11"/>
      <c r="N29" s="11"/>
      <c r="O29" s="11"/>
      <c r="P29" s="242"/>
    </row>
    <row r="30" spans="1:16" s="12" customFormat="1" ht="22.5">
      <c r="A30" s="2" t="s">
        <v>76</v>
      </c>
      <c r="B30" s="176">
        <v>1</v>
      </c>
      <c r="C30" s="14">
        <v>16000</v>
      </c>
      <c r="D30" s="10" t="s">
        <v>33</v>
      </c>
      <c r="E30" s="11"/>
      <c r="F30" s="11"/>
      <c r="G30" s="11"/>
      <c r="H30" s="11"/>
      <c r="I30" s="11">
        <f t="shared" si="0"/>
        <v>192000</v>
      </c>
      <c r="J30" s="11"/>
      <c r="K30" s="11"/>
      <c r="L30" s="11"/>
      <c r="M30" s="11"/>
      <c r="N30" s="11"/>
      <c r="O30" s="11"/>
      <c r="P30" s="242"/>
    </row>
    <row r="31" spans="1:16" s="12" customFormat="1" ht="22.5">
      <c r="A31" s="2" t="s">
        <v>77</v>
      </c>
      <c r="B31" s="241">
        <v>1</v>
      </c>
      <c r="C31" s="11">
        <v>13000</v>
      </c>
      <c r="D31" s="10" t="s">
        <v>33</v>
      </c>
      <c r="E31" s="11"/>
      <c r="F31" s="11"/>
      <c r="G31" s="11"/>
      <c r="H31" s="11"/>
      <c r="I31" s="11">
        <f t="shared" si="0"/>
        <v>156000</v>
      </c>
      <c r="J31" s="11"/>
      <c r="K31" s="11"/>
      <c r="L31" s="11"/>
      <c r="M31" s="11"/>
      <c r="N31" s="11"/>
      <c r="O31" s="11"/>
      <c r="P31" s="242"/>
    </row>
    <row r="32" spans="1:16" s="12" customFormat="1" ht="22.5">
      <c r="A32" s="2" t="s">
        <v>78</v>
      </c>
      <c r="B32" s="241">
        <v>1</v>
      </c>
      <c r="C32" s="11">
        <v>10000</v>
      </c>
      <c r="D32" s="10" t="s">
        <v>33</v>
      </c>
      <c r="E32" s="11"/>
      <c r="F32" s="11"/>
      <c r="G32" s="11"/>
      <c r="H32" s="11"/>
      <c r="I32" s="11">
        <f t="shared" si="0"/>
        <v>120000</v>
      </c>
      <c r="J32" s="11"/>
      <c r="K32" s="11"/>
      <c r="L32" s="11"/>
      <c r="M32" s="11"/>
      <c r="N32" s="11"/>
      <c r="O32" s="11"/>
      <c r="P32" s="242"/>
    </row>
    <row r="33" spans="1:16" s="12" customFormat="1" ht="22.5">
      <c r="A33" s="2" t="s">
        <v>79</v>
      </c>
      <c r="B33" s="241">
        <v>1</v>
      </c>
      <c r="C33" s="11">
        <v>6500</v>
      </c>
      <c r="D33" s="10" t="s">
        <v>33</v>
      </c>
      <c r="E33" s="11"/>
      <c r="F33" s="11"/>
      <c r="G33" s="11"/>
      <c r="H33" s="11"/>
      <c r="I33" s="11">
        <f t="shared" si="0"/>
        <v>78000</v>
      </c>
      <c r="J33" s="11"/>
      <c r="K33" s="11"/>
      <c r="L33" s="11"/>
      <c r="M33" s="11"/>
      <c r="N33" s="11"/>
      <c r="O33" s="11"/>
      <c r="P33" s="242"/>
    </row>
    <row r="34" spans="1:16" s="12" customFormat="1" ht="22.5">
      <c r="A34" s="2" t="s">
        <v>79</v>
      </c>
      <c r="B34" s="241">
        <v>1</v>
      </c>
      <c r="C34" s="11">
        <v>6500</v>
      </c>
      <c r="D34" s="10" t="s">
        <v>33</v>
      </c>
      <c r="E34" s="11"/>
      <c r="F34" s="11"/>
      <c r="G34" s="11"/>
      <c r="H34" s="11"/>
      <c r="I34" s="11">
        <f t="shared" si="0"/>
        <v>78000</v>
      </c>
      <c r="J34" s="11"/>
      <c r="K34" s="11"/>
      <c r="L34" s="11"/>
      <c r="M34" s="11"/>
      <c r="N34" s="11"/>
      <c r="O34" s="11"/>
      <c r="P34" s="242"/>
    </row>
    <row r="35" spans="1:16" s="12" customFormat="1" ht="22.5">
      <c r="A35" s="2" t="s">
        <v>79</v>
      </c>
      <c r="B35" s="241">
        <v>1</v>
      </c>
      <c r="C35" s="11">
        <v>6500</v>
      </c>
      <c r="D35" s="10" t="s">
        <v>33</v>
      </c>
      <c r="E35" s="11"/>
      <c r="F35" s="11"/>
      <c r="G35" s="11"/>
      <c r="H35" s="11"/>
      <c r="I35" s="11">
        <f t="shared" si="0"/>
        <v>78000</v>
      </c>
      <c r="J35" s="11"/>
      <c r="K35" s="11"/>
      <c r="L35" s="11"/>
      <c r="M35" s="11"/>
      <c r="N35" s="11"/>
      <c r="O35" s="11"/>
      <c r="P35" s="242"/>
    </row>
    <row r="36" spans="1:16" s="12" customFormat="1" ht="22.5">
      <c r="A36" s="2" t="s">
        <v>79</v>
      </c>
      <c r="B36" s="241">
        <v>1</v>
      </c>
      <c r="C36" s="11">
        <v>6500</v>
      </c>
      <c r="D36" s="10" t="s">
        <v>33</v>
      </c>
      <c r="E36" s="11"/>
      <c r="F36" s="11"/>
      <c r="G36" s="11"/>
      <c r="H36" s="11"/>
      <c r="I36" s="11">
        <f t="shared" si="0"/>
        <v>78000</v>
      </c>
      <c r="J36" s="11"/>
      <c r="K36" s="11"/>
      <c r="L36" s="11"/>
      <c r="M36" s="11"/>
      <c r="N36" s="11"/>
      <c r="O36" s="11"/>
      <c r="P36" s="242"/>
    </row>
    <row r="37" spans="1:16" s="12" customFormat="1" ht="22.5">
      <c r="A37" s="2" t="s">
        <v>79</v>
      </c>
      <c r="B37" s="241">
        <v>1</v>
      </c>
      <c r="C37" s="11">
        <v>6500</v>
      </c>
      <c r="D37" s="10" t="s">
        <v>33</v>
      </c>
      <c r="E37" s="11"/>
      <c r="F37" s="11"/>
      <c r="G37" s="11"/>
      <c r="H37" s="11"/>
      <c r="I37" s="11">
        <f t="shared" si="0"/>
        <v>78000</v>
      </c>
      <c r="J37" s="11"/>
      <c r="K37" s="11"/>
      <c r="L37" s="11"/>
      <c r="M37" s="11"/>
      <c r="N37" s="11"/>
      <c r="O37" s="11"/>
      <c r="P37" s="242"/>
    </row>
    <row r="38" spans="1:16" s="12" customFormat="1" ht="22.5">
      <c r="A38" s="2" t="s">
        <v>79</v>
      </c>
      <c r="B38" s="241">
        <v>1</v>
      </c>
      <c r="C38" s="11">
        <v>6500</v>
      </c>
      <c r="D38" s="10" t="s">
        <v>33</v>
      </c>
      <c r="E38" s="11"/>
      <c r="F38" s="11"/>
      <c r="G38" s="11"/>
      <c r="H38" s="11"/>
      <c r="I38" s="11">
        <f t="shared" si="0"/>
        <v>78000</v>
      </c>
      <c r="J38" s="11"/>
      <c r="K38" s="11"/>
      <c r="L38" s="11"/>
      <c r="M38" s="11"/>
      <c r="N38" s="11"/>
      <c r="O38" s="11"/>
      <c r="P38" s="242"/>
    </row>
    <row r="39" spans="1:16" s="12" customFormat="1" ht="22.5">
      <c r="A39" s="2" t="s">
        <v>79</v>
      </c>
      <c r="B39" s="241">
        <v>1</v>
      </c>
      <c r="C39" s="11">
        <v>6500</v>
      </c>
      <c r="D39" s="10" t="s">
        <v>33</v>
      </c>
      <c r="E39" s="11"/>
      <c r="F39" s="11"/>
      <c r="G39" s="11"/>
      <c r="H39" s="11"/>
      <c r="I39" s="11">
        <f>B39*C39*12</f>
        <v>78000</v>
      </c>
      <c r="J39" s="11"/>
      <c r="K39" s="11"/>
      <c r="L39" s="11"/>
      <c r="M39" s="11"/>
      <c r="N39" s="11"/>
      <c r="O39" s="11"/>
      <c r="P39" s="242"/>
    </row>
    <row r="40" spans="1:16" s="12" customFormat="1" ht="22.5">
      <c r="A40" s="2" t="s">
        <v>79</v>
      </c>
      <c r="B40" s="241">
        <v>1</v>
      </c>
      <c r="C40" s="11">
        <v>6500</v>
      </c>
      <c r="D40" s="10" t="s">
        <v>33</v>
      </c>
      <c r="E40" s="11"/>
      <c r="F40" s="11"/>
      <c r="G40" s="11"/>
      <c r="H40" s="11"/>
      <c r="I40" s="11">
        <f>B40*C40*12</f>
        <v>78000</v>
      </c>
      <c r="J40" s="11"/>
      <c r="K40" s="11"/>
      <c r="L40" s="11"/>
      <c r="M40" s="11"/>
      <c r="N40" s="11"/>
      <c r="O40" s="11"/>
      <c r="P40" s="242"/>
    </row>
    <row r="41" spans="1:16" s="12" customFormat="1" ht="22.5">
      <c r="A41" s="2" t="s">
        <v>80</v>
      </c>
      <c r="B41" s="241">
        <v>1</v>
      </c>
      <c r="C41" s="11">
        <v>14000</v>
      </c>
      <c r="D41" s="10" t="s">
        <v>33</v>
      </c>
      <c r="E41" s="11"/>
      <c r="F41" s="11"/>
      <c r="G41" s="11"/>
      <c r="H41" s="11"/>
      <c r="I41" s="11">
        <f t="shared" ref="I41:I47" si="1">C41*12</f>
        <v>168000</v>
      </c>
      <c r="J41" s="11"/>
      <c r="K41" s="11"/>
      <c r="L41" s="11"/>
      <c r="M41" s="11"/>
      <c r="N41" s="11"/>
      <c r="O41" s="11"/>
      <c r="P41" s="242"/>
    </row>
    <row r="42" spans="1:16" s="12" customFormat="1" ht="22.5">
      <c r="A42" s="2" t="s">
        <v>69</v>
      </c>
      <c r="B42" s="241">
        <v>1</v>
      </c>
      <c r="C42" s="11">
        <v>5000</v>
      </c>
      <c r="D42" s="10" t="s">
        <v>33</v>
      </c>
      <c r="E42" s="11"/>
      <c r="F42" s="11"/>
      <c r="G42" s="11"/>
      <c r="H42" s="11"/>
      <c r="I42" s="11">
        <f t="shared" si="1"/>
        <v>60000</v>
      </c>
      <c r="J42" s="11"/>
      <c r="K42" s="11"/>
      <c r="L42" s="11"/>
      <c r="M42" s="11"/>
      <c r="N42" s="11"/>
      <c r="O42" s="11"/>
      <c r="P42" s="242"/>
    </row>
    <row r="43" spans="1:16" s="12" customFormat="1" ht="22.5">
      <c r="A43" s="2" t="s">
        <v>81</v>
      </c>
      <c r="B43" s="241">
        <v>1</v>
      </c>
      <c r="C43" s="11">
        <v>16000</v>
      </c>
      <c r="D43" s="10" t="s">
        <v>33</v>
      </c>
      <c r="E43" s="11"/>
      <c r="F43" s="11"/>
      <c r="G43" s="11"/>
      <c r="H43" s="11"/>
      <c r="I43" s="11">
        <f t="shared" si="1"/>
        <v>192000</v>
      </c>
      <c r="J43" s="11"/>
      <c r="K43" s="11"/>
      <c r="L43" s="11"/>
      <c r="M43" s="11"/>
      <c r="N43" s="11"/>
      <c r="O43" s="11"/>
      <c r="P43" s="242"/>
    </row>
    <row r="44" spans="1:16" s="12" customFormat="1" ht="22.5">
      <c r="A44" s="2" t="s">
        <v>82</v>
      </c>
      <c r="B44" s="241">
        <v>1</v>
      </c>
      <c r="C44" s="11">
        <v>12500</v>
      </c>
      <c r="D44" s="10" t="s">
        <v>33</v>
      </c>
      <c r="E44" s="11"/>
      <c r="F44" s="11"/>
      <c r="G44" s="11"/>
      <c r="H44" s="11"/>
      <c r="I44" s="11">
        <f t="shared" si="1"/>
        <v>150000</v>
      </c>
      <c r="J44" s="11"/>
      <c r="K44" s="11"/>
      <c r="L44" s="11"/>
      <c r="M44" s="11"/>
      <c r="N44" s="11"/>
      <c r="O44" s="11"/>
      <c r="P44" s="242"/>
    </row>
    <row r="45" spans="1:16" s="12" customFormat="1" ht="22.5">
      <c r="A45" s="2" t="s">
        <v>83</v>
      </c>
      <c r="B45" s="241">
        <v>1</v>
      </c>
      <c r="C45" s="11">
        <v>12000</v>
      </c>
      <c r="D45" s="10" t="s">
        <v>33</v>
      </c>
      <c r="E45" s="11"/>
      <c r="F45" s="11"/>
      <c r="G45" s="11"/>
      <c r="H45" s="11"/>
      <c r="I45" s="11">
        <f t="shared" si="1"/>
        <v>144000</v>
      </c>
      <c r="J45" s="11"/>
      <c r="K45" s="11"/>
      <c r="L45" s="11"/>
      <c r="M45" s="11"/>
      <c r="N45" s="11"/>
      <c r="O45" s="11"/>
      <c r="P45" s="242"/>
    </row>
    <row r="46" spans="1:16" s="12" customFormat="1" ht="22.5">
      <c r="A46" s="2" t="s">
        <v>84</v>
      </c>
      <c r="B46" s="241">
        <v>1</v>
      </c>
      <c r="C46" s="11">
        <v>8000</v>
      </c>
      <c r="D46" s="10" t="s">
        <v>33</v>
      </c>
      <c r="E46" s="11"/>
      <c r="F46" s="11"/>
      <c r="G46" s="11"/>
      <c r="H46" s="11"/>
      <c r="I46" s="11">
        <f t="shared" si="1"/>
        <v>96000</v>
      </c>
      <c r="J46" s="11"/>
      <c r="K46" s="11"/>
      <c r="L46" s="11"/>
      <c r="M46" s="11" t="s">
        <v>1371</v>
      </c>
      <c r="N46" s="11"/>
      <c r="O46" s="11"/>
      <c r="P46" s="242"/>
    </row>
    <row r="47" spans="1:16" s="12" customFormat="1" ht="22.5">
      <c r="A47" s="2" t="s">
        <v>84</v>
      </c>
      <c r="B47" s="241">
        <v>1</v>
      </c>
      <c r="C47" s="11">
        <v>8000</v>
      </c>
      <c r="D47" s="10" t="s">
        <v>33</v>
      </c>
      <c r="E47" s="11"/>
      <c r="F47" s="11"/>
      <c r="G47" s="11"/>
      <c r="H47" s="11"/>
      <c r="I47" s="11">
        <f t="shared" si="1"/>
        <v>96000</v>
      </c>
      <c r="J47" s="11"/>
      <c r="K47" s="11"/>
      <c r="L47" s="11"/>
      <c r="M47" s="11"/>
      <c r="N47" s="11"/>
      <c r="O47" s="11"/>
      <c r="P47" s="242"/>
    </row>
    <row r="48" spans="1:16" s="12" customFormat="1" ht="15">
      <c r="A48" s="336" t="s">
        <v>969</v>
      </c>
      <c r="B48" s="308"/>
      <c r="C48" s="309"/>
      <c r="D48" s="310"/>
      <c r="E48" s="309"/>
      <c r="F48" s="309"/>
      <c r="G48" s="309"/>
      <c r="H48" s="309"/>
      <c r="I48" s="309"/>
      <c r="J48" s="309"/>
      <c r="K48" s="309"/>
      <c r="L48" s="309"/>
      <c r="M48" s="311">
        <f>155586+240</f>
        <v>155826</v>
      </c>
      <c r="N48" s="268"/>
      <c r="O48" s="312"/>
      <c r="P48" s="323"/>
    </row>
    <row r="49" spans="1:16" s="12" customFormat="1" ht="15">
      <c r="A49" s="336" t="s">
        <v>964</v>
      </c>
      <c r="B49" s="313"/>
      <c r="C49" s="314"/>
      <c r="D49" s="315"/>
      <c r="E49" s="314"/>
      <c r="F49" s="314"/>
      <c r="G49" s="314"/>
      <c r="H49" s="314"/>
      <c r="I49" s="314"/>
      <c r="J49" s="314"/>
      <c r="K49" s="314"/>
      <c r="L49" s="314"/>
      <c r="M49" s="268"/>
      <c r="N49" s="311">
        <v>100000</v>
      </c>
      <c r="O49" s="312"/>
      <c r="P49" s="323"/>
    </row>
    <row r="50" spans="1:16" s="12" customFormat="1" ht="15">
      <c r="A50" s="337" t="s">
        <v>970</v>
      </c>
      <c r="B50" s="308"/>
      <c r="C50" s="309"/>
      <c r="D50" s="310"/>
      <c r="E50" s="309"/>
      <c r="F50" s="309"/>
      <c r="G50" s="309"/>
      <c r="H50" s="309"/>
      <c r="I50" s="309"/>
      <c r="J50" s="309"/>
      <c r="K50" s="309"/>
      <c r="L50" s="309"/>
      <c r="M50" s="312"/>
      <c r="N50" s="312"/>
      <c r="O50" s="311">
        <v>232000</v>
      </c>
      <c r="P50" s="323"/>
    </row>
    <row r="51" spans="1:16" s="12" customFormat="1" ht="15.75" thickBot="1">
      <c r="A51" s="338" t="s">
        <v>971</v>
      </c>
      <c r="B51" s="324"/>
      <c r="C51" s="325"/>
      <c r="D51" s="326"/>
      <c r="E51" s="325"/>
      <c r="F51" s="325"/>
      <c r="G51" s="325"/>
      <c r="H51" s="325"/>
      <c r="I51" s="325"/>
      <c r="J51" s="325"/>
      <c r="K51" s="325"/>
      <c r="L51" s="325"/>
      <c r="M51" s="327"/>
      <c r="N51" s="327"/>
      <c r="O51" s="328"/>
      <c r="P51" s="329">
        <v>230400</v>
      </c>
    </row>
    <row r="52" spans="1:16" s="21" customFormat="1" ht="12" thickBot="1">
      <c r="A52" s="330"/>
      <c r="B52" s="331">
        <f>SUM(B7:B47)</f>
        <v>41</v>
      </c>
      <c r="C52" s="332"/>
      <c r="D52" s="332"/>
      <c r="E52" s="333">
        <f>E16+E15+E14+E13+E12+E11</f>
        <v>310776</v>
      </c>
      <c r="F52" s="333">
        <f>F10+F9+F8+F7</f>
        <v>756000</v>
      </c>
      <c r="G52" s="333">
        <f>G14+G10</f>
        <v>9000</v>
      </c>
      <c r="H52" s="333">
        <f>H16+H15+H14+H13+H12+H11+H10+H9+H8+H7</f>
        <v>144000</v>
      </c>
      <c r="I52" s="333">
        <f>SUM(I17:I47)</f>
        <v>3576000</v>
      </c>
      <c r="J52" s="333">
        <f>J16+J15+J14+J13+J12+J11+J10+J9+J8+J7</f>
        <v>99148</v>
      </c>
      <c r="K52" s="333">
        <f>K16+K15+K14+K13+K12+K11+K10+K9+K8+K7</f>
        <v>99148</v>
      </c>
      <c r="L52" s="333">
        <f>L16+L15+L14+L13+L12+L11+L10+L9+L8+L7</f>
        <v>2000</v>
      </c>
      <c r="M52" s="334">
        <f>155586+240</f>
        <v>155826</v>
      </c>
      <c r="N52" s="334">
        <v>100000</v>
      </c>
      <c r="O52" s="334">
        <v>232000</v>
      </c>
      <c r="P52" s="335">
        <v>230400</v>
      </c>
    </row>
    <row r="53" spans="1:16" ht="13.5" thickBot="1">
      <c r="A53" s="954" t="s">
        <v>85</v>
      </c>
      <c r="B53" s="955"/>
      <c r="C53" s="955"/>
      <c r="D53" s="955"/>
      <c r="E53" s="955"/>
      <c r="F53" s="955"/>
      <c r="G53" s="955"/>
      <c r="H53" s="955"/>
      <c r="I53" s="955"/>
      <c r="J53" s="955"/>
      <c r="K53" s="955"/>
      <c r="L53" s="955"/>
      <c r="M53" s="955"/>
      <c r="N53" s="956"/>
      <c r="O53" s="959">
        <f>P52+O52+N52+M52+L52+K52+J52+I52+H52+G52+F52+E52</f>
        <v>5714298</v>
      </c>
      <c r="P53" s="960"/>
    </row>
    <row r="54" spans="1:16">
      <c r="H54" s="948"/>
      <c r="I54" s="948"/>
      <c r="K54" s="957"/>
      <c r="L54" s="957"/>
      <c r="M54" s="957"/>
      <c r="N54" s="957"/>
      <c r="O54" s="958"/>
    </row>
    <row r="55" spans="1:16">
      <c r="H55" s="948"/>
      <c r="I55" s="948"/>
    </row>
    <row r="56" spans="1:16">
      <c r="B56" s="6"/>
      <c r="D56" s="13"/>
      <c r="I56" s="13"/>
    </row>
    <row r="59" spans="1:16">
      <c r="B59" s="6"/>
      <c r="P59" s="16"/>
    </row>
  </sheetData>
  <mergeCells count="14">
    <mergeCell ref="A1:O1"/>
    <mergeCell ref="A2:O2"/>
    <mergeCell ref="A3:O3"/>
    <mergeCell ref="H55:I55"/>
    <mergeCell ref="A5:A6"/>
    <mergeCell ref="B5:B6"/>
    <mergeCell ref="C5:C6"/>
    <mergeCell ref="D5:D6"/>
    <mergeCell ref="A4:O4"/>
    <mergeCell ref="A53:N53"/>
    <mergeCell ref="K54:O54"/>
    <mergeCell ref="H54:I54"/>
    <mergeCell ref="O53:P53"/>
    <mergeCell ref="E5:P5"/>
  </mergeCells>
  <pageMargins left="0.70866141732283472" right="0.70866141732283472" top="0.74803149606299213" bottom="0.74803149606299213" header="0.31496062992125984" footer="0.31496062992125984"/>
  <pageSetup paperSize="17" scale="8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4"/>
  <sheetViews>
    <sheetView view="pageBreakPreview" zoomScaleNormal="100" zoomScaleSheetLayoutView="100" workbookViewId="0">
      <selection activeCell="B11" sqref="A11:B11"/>
    </sheetView>
  </sheetViews>
  <sheetFormatPr baseColWidth="10" defaultRowHeight="15"/>
  <cols>
    <col min="1" max="1" width="23.140625" customWidth="1"/>
    <col min="2" max="2" width="13.85546875" customWidth="1"/>
    <col min="5" max="5" width="12.28515625" bestFit="1" customWidth="1"/>
    <col min="6" max="9" width="11.42578125" customWidth="1"/>
    <col min="10" max="11" width="13.28515625" bestFit="1" customWidth="1"/>
    <col min="12" max="12" width="12.28515625" bestFit="1" customWidth="1"/>
    <col min="13" max="13" width="13.28515625" bestFit="1" customWidth="1"/>
    <col min="14" max="15" width="14.85546875" bestFit="1" customWidth="1"/>
    <col min="16" max="16" width="12.28515625" bestFit="1" customWidth="1"/>
    <col min="17" max="17" width="14.85546875" bestFit="1" customWidth="1"/>
    <col min="18" max="19" width="13.28515625" bestFit="1" customWidth="1"/>
    <col min="20" max="20" width="12.28515625" bestFit="1" customWidth="1"/>
    <col min="21" max="21" width="21.140625" bestFit="1" customWidth="1"/>
    <col min="22" max="22" width="12.28515625" bestFit="1" customWidth="1"/>
    <col min="257" max="257" width="23.140625" customWidth="1"/>
    <col min="261" max="269" width="11.42578125" customWidth="1"/>
    <col min="270" max="271" width="12.28515625" bestFit="1" customWidth="1"/>
    <col min="273" max="273" width="12" customWidth="1"/>
    <col min="275" max="275" width="11.7109375" bestFit="1" customWidth="1"/>
    <col min="277" max="277" width="15.28515625" bestFit="1" customWidth="1"/>
    <col min="278" max="278" width="12.28515625" bestFit="1" customWidth="1"/>
    <col min="513" max="513" width="23.140625" customWidth="1"/>
    <col min="517" max="525" width="11.42578125" customWidth="1"/>
    <col min="526" max="527" width="12.28515625" bestFit="1" customWidth="1"/>
    <col min="529" max="529" width="12" customWidth="1"/>
    <col min="531" max="531" width="11.7109375" bestFit="1" customWidth="1"/>
    <col min="533" max="533" width="15.28515625" bestFit="1" customWidth="1"/>
    <col min="534" max="534" width="12.28515625" bestFit="1" customWidth="1"/>
    <col min="769" max="769" width="23.140625" customWidth="1"/>
    <col min="773" max="781" width="11.42578125" customWidth="1"/>
    <col min="782" max="783" width="12.28515625" bestFit="1" customWidth="1"/>
    <col min="785" max="785" width="12" customWidth="1"/>
    <col min="787" max="787" width="11.7109375" bestFit="1" customWidth="1"/>
    <col min="789" max="789" width="15.28515625" bestFit="1" customWidth="1"/>
    <col min="790" max="790" width="12.28515625" bestFit="1" customWidth="1"/>
    <col min="1025" max="1025" width="23.140625" customWidth="1"/>
    <col min="1029" max="1037" width="11.42578125" customWidth="1"/>
    <col min="1038" max="1039" width="12.28515625" bestFit="1" customWidth="1"/>
    <col min="1041" max="1041" width="12" customWidth="1"/>
    <col min="1043" max="1043" width="11.7109375" bestFit="1" customWidth="1"/>
    <col min="1045" max="1045" width="15.28515625" bestFit="1" customWidth="1"/>
    <col min="1046" max="1046" width="12.28515625" bestFit="1" customWidth="1"/>
    <col min="1281" max="1281" width="23.140625" customWidth="1"/>
    <col min="1285" max="1293" width="11.42578125" customWidth="1"/>
    <col min="1294" max="1295" width="12.28515625" bestFit="1" customWidth="1"/>
    <col min="1297" max="1297" width="12" customWidth="1"/>
    <col min="1299" max="1299" width="11.7109375" bestFit="1" customWidth="1"/>
    <col min="1301" max="1301" width="15.28515625" bestFit="1" customWidth="1"/>
    <col min="1302" max="1302" width="12.28515625" bestFit="1" customWidth="1"/>
    <col min="1537" max="1537" width="23.140625" customWidth="1"/>
    <col min="1541" max="1549" width="11.42578125" customWidth="1"/>
    <col min="1550" max="1551" width="12.28515625" bestFit="1" customWidth="1"/>
    <col min="1553" max="1553" width="12" customWidth="1"/>
    <col min="1555" max="1555" width="11.7109375" bestFit="1" customWidth="1"/>
    <col min="1557" max="1557" width="15.28515625" bestFit="1" customWidth="1"/>
    <col min="1558" max="1558" width="12.28515625" bestFit="1" customWidth="1"/>
    <col min="1793" max="1793" width="23.140625" customWidth="1"/>
    <col min="1797" max="1805" width="11.42578125" customWidth="1"/>
    <col min="1806" max="1807" width="12.28515625" bestFit="1" customWidth="1"/>
    <col min="1809" max="1809" width="12" customWidth="1"/>
    <col min="1811" max="1811" width="11.7109375" bestFit="1" customWidth="1"/>
    <col min="1813" max="1813" width="15.28515625" bestFit="1" customWidth="1"/>
    <col min="1814" max="1814" width="12.28515625" bestFit="1" customWidth="1"/>
    <col min="2049" max="2049" width="23.140625" customWidth="1"/>
    <col min="2053" max="2061" width="11.42578125" customWidth="1"/>
    <col min="2062" max="2063" width="12.28515625" bestFit="1" customWidth="1"/>
    <col min="2065" max="2065" width="12" customWidth="1"/>
    <col min="2067" max="2067" width="11.7109375" bestFit="1" customWidth="1"/>
    <col min="2069" max="2069" width="15.28515625" bestFit="1" customWidth="1"/>
    <col min="2070" max="2070" width="12.28515625" bestFit="1" customWidth="1"/>
    <col min="2305" max="2305" width="23.140625" customWidth="1"/>
    <col min="2309" max="2317" width="11.42578125" customWidth="1"/>
    <col min="2318" max="2319" width="12.28515625" bestFit="1" customWidth="1"/>
    <col min="2321" max="2321" width="12" customWidth="1"/>
    <col min="2323" max="2323" width="11.7109375" bestFit="1" customWidth="1"/>
    <col min="2325" max="2325" width="15.28515625" bestFit="1" customWidth="1"/>
    <col min="2326" max="2326" width="12.28515625" bestFit="1" customWidth="1"/>
    <col min="2561" max="2561" width="23.140625" customWidth="1"/>
    <col min="2565" max="2573" width="11.42578125" customWidth="1"/>
    <col min="2574" max="2575" width="12.28515625" bestFit="1" customWidth="1"/>
    <col min="2577" max="2577" width="12" customWidth="1"/>
    <col min="2579" max="2579" width="11.7109375" bestFit="1" customWidth="1"/>
    <col min="2581" max="2581" width="15.28515625" bestFit="1" customWidth="1"/>
    <col min="2582" max="2582" width="12.28515625" bestFit="1" customWidth="1"/>
    <col min="2817" max="2817" width="23.140625" customWidth="1"/>
    <col min="2821" max="2829" width="11.42578125" customWidth="1"/>
    <col min="2830" max="2831" width="12.28515625" bestFit="1" customWidth="1"/>
    <col min="2833" max="2833" width="12" customWidth="1"/>
    <col min="2835" max="2835" width="11.7109375" bestFit="1" customWidth="1"/>
    <col min="2837" max="2837" width="15.28515625" bestFit="1" customWidth="1"/>
    <col min="2838" max="2838" width="12.28515625" bestFit="1" customWidth="1"/>
    <col min="3073" max="3073" width="23.140625" customWidth="1"/>
    <col min="3077" max="3085" width="11.42578125" customWidth="1"/>
    <col min="3086" max="3087" width="12.28515625" bestFit="1" customWidth="1"/>
    <col min="3089" max="3089" width="12" customWidth="1"/>
    <col min="3091" max="3091" width="11.7109375" bestFit="1" customWidth="1"/>
    <col min="3093" max="3093" width="15.28515625" bestFit="1" customWidth="1"/>
    <col min="3094" max="3094" width="12.28515625" bestFit="1" customWidth="1"/>
    <col min="3329" max="3329" width="23.140625" customWidth="1"/>
    <col min="3333" max="3341" width="11.42578125" customWidth="1"/>
    <col min="3342" max="3343" width="12.28515625" bestFit="1" customWidth="1"/>
    <col min="3345" max="3345" width="12" customWidth="1"/>
    <col min="3347" max="3347" width="11.7109375" bestFit="1" customWidth="1"/>
    <col min="3349" max="3349" width="15.28515625" bestFit="1" customWidth="1"/>
    <col min="3350" max="3350" width="12.28515625" bestFit="1" customWidth="1"/>
    <col min="3585" max="3585" width="23.140625" customWidth="1"/>
    <col min="3589" max="3597" width="11.42578125" customWidth="1"/>
    <col min="3598" max="3599" width="12.28515625" bestFit="1" customWidth="1"/>
    <col min="3601" max="3601" width="12" customWidth="1"/>
    <col min="3603" max="3603" width="11.7109375" bestFit="1" customWidth="1"/>
    <col min="3605" max="3605" width="15.28515625" bestFit="1" customWidth="1"/>
    <col min="3606" max="3606" width="12.28515625" bestFit="1" customWidth="1"/>
    <col min="3841" max="3841" width="23.140625" customWidth="1"/>
    <col min="3845" max="3853" width="11.42578125" customWidth="1"/>
    <col min="3854" max="3855" width="12.28515625" bestFit="1" customWidth="1"/>
    <col min="3857" max="3857" width="12" customWidth="1"/>
    <col min="3859" max="3859" width="11.7109375" bestFit="1" customWidth="1"/>
    <col min="3861" max="3861" width="15.28515625" bestFit="1" customWidth="1"/>
    <col min="3862" max="3862" width="12.28515625" bestFit="1" customWidth="1"/>
    <col min="4097" max="4097" width="23.140625" customWidth="1"/>
    <col min="4101" max="4109" width="11.42578125" customWidth="1"/>
    <col min="4110" max="4111" width="12.28515625" bestFit="1" customWidth="1"/>
    <col min="4113" max="4113" width="12" customWidth="1"/>
    <col min="4115" max="4115" width="11.7109375" bestFit="1" customWidth="1"/>
    <col min="4117" max="4117" width="15.28515625" bestFit="1" customWidth="1"/>
    <col min="4118" max="4118" width="12.28515625" bestFit="1" customWidth="1"/>
    <col min="4353" max="4353" width="23.140625" customWidth="1"/>
    <col min="4357" max="4365" width="11.42578125" customWidth="1"/>
    <col min="4366" max="4367" width="12.28515625" bestFit="1" customWidth="1"/>
    <col min="4369" max="4369" width="12" customWidth="1"/>
    <col min="4371" max="4371" width="11.7109375" bestFit="1" customWidth="1"/>
    <col min="4373" max="4373" width="15.28515625" bestFit="1" customWidth="1"/>
    <col min="4374" max="4374" width="12.28515625" bestFit="1" customWidth="1"/>
    <col min="4609" max="4609" width="23.140625" customWidth="1"/>
    <col min="4613" max="4621" width="11.42578125" customWidth="1"/>
    <col min="4622" max="4623" width="12.28515625" bestFit="1" customWidth="1"/>
    <col min="4625" max="4625" width="12" customWidth="1"/>
    <col min="4627" max="4627" width="11.7109375" bestFit="1" customWidth="1"/>
    <col min="4629" max="4629" width="15.28515625" bestFit="1" customWidth="1"/>
    <col min="4630" max="4630" width="12.28515625" bestFit="1" customWidth="1"/>
    <col min="4865" max="4865" width="23.140625" customWidth="1"/>
    <col min="4869" max="4877" width="11.42578125" customWidth="1"/>
    <col min="4878" max="4879" width="12.28515625" bestFit="1" customWidth="1"/>
    <col min="4881" max="4881" width="12" customWidth="1"/>
    <col min="4883" max="4883" width="11.7109375" bestFit="1" customWidth="1"/>
    <col min="4885" max="4885" width="15.28515625" bestFit="1" customWidth="1"/>
    <col min="4886" max="4886" width="12.28515625" bestFit="1" customWidth="1"/>
    <col min="5121" max="5121" width="23.140625" customWidth="1"/>
    <col min="5125" max="5133" width="11.42578125" customWidth="1"/>
    <col min="5134" max="5135" width="12.28515625" bestFit="1" customWidth="1"/>
    <col min="5137" max="5137" width="12" customWidth="1"/>
    <col min="5139" max="5139" width="11.7109375" bestFit="1" customWidth="1"/>
    <col min="5141" max="5141" width="15.28515625" bestFit="1" customWidth="1"/>
    <col min="5142" max="5142" width="12.28515625" bestFit="1" customWidth="1"/>
    <col min="5377" max="5377" width="23.140625" customWidth="1"/>
    <col min="5381" max="5389" width="11.42578125" customWidth="1"/>
    <col min="5390" max="5391" width="12.28515625" bestFit="1" customWidth="1"/>
    <col min="5393" max="5393" width="12" customWidth="1"/>
    <col min="5395" max="5395" width="11.7109375" bestFit="1" customWidth="1"/>
    <col min="5397" max="5397" width="15.28515625" bestFit="1" customWidth="1"/>
    <col min="5398" max="5398" width="12.28515625" bestFit="1" customWidth="1"/>
    <col min="5633" max="5633" width="23.140625" customWidth="1"/>
    <col min="5637" max="5645" width="11.42578125" customWidth="1"/>
    <col min="5646" max="5647" width="12.28515625" bestFit="1" customWidth="1"/>
    <col min="5649" max="5649" width="12" customWidth="1"/>
    <col min="5651" max="5651" width="11.7109375" bestFit="1" customWidth="1"/>
    <col min="5653" max="5653" width="15.28515625" bestFit="1" customWidth="1"/>
    <col min="5654" max="5654" width="12.28515625" bestFit="1" customWidth="1"/>
    <col min="5889" max="5889" width="23.140625" customWidth="1"/>
    <col min="5893" max="5901" width="11.42578125" customWidth="1"/>
    <col min="5902" max="5903" width="12.28515625" bestFit="1" customWidth="1"/>
    <col min="5905" max="5905" width="12" customWidth="1"/>
    <col min="5907" max="5907" width="11.7109375" bestFit="1" customWidth="1"/>
    <col min="5909" max="5909" width="15.28515625" bestFit="1" customWidth="1"/>
    <col min="5910" max="5910" width="12.28515625" bestFit="1" customWidth="1"/>
    <col min="6145" max="6145" width="23.140625" customWidth="1"/>
    <col min="6149" max="6157" width="11.42578125" customWidth="1"/>
    <col min="6158" max="6159" width="12.28515625" bestFit="1" customWidth="1"/>
    <col min="6161" max="6161" width="12" customWidth="1"/>
    <col min="6163" max="6163" width="11.7109375" bestFit="1" customWidth="1"/>
    <col min="6165" max="6165" width="15.28515625" bestFit="1" customWidth="1"/>
    <col min="6166" max="6166" width="12.28515625" bestFit="1" customWidth="1"/>
    <col min="6401" max="6401" width="23.140625" customWidth="1"/>
    <col min="6405" max="6413" width="11.42578125" customWidth="1"/>
    <col min="6414" max="6415" width="12.28515625" bestFit="1" customWidth="1"/>
    <col min="6417" max="6417" width="12" customWidth="1"/>
    <col min="6419" max="6419" width="11.7109375" bestFit="1" customWidth="1"/>
    <col min="6421" max="6421" width="15.28515625" bestFit="1" customWidth="1"/>
    <col min="6422" max="6422" width="12.28515625" bestFit="1" customWidth="1"/>
    <col min="6657" max="6657" width="23.140625" customWidth="1"/>
    <col min="6661" max="6669" width="11.42578125" customWidth="1"/>
    <col min="6670" max="6671" width="12.28515625" bestFit="1" customWidth="1"/>
    <col min="6673" max="6673" width="12" customWidth="1"/>
    <col min="6675" max="6675" width="11.7109375" bestFit="1" customWidth="1"/>
    <col min="6677" max="6677" width="15.28515625" bestFit="1" customWidth="1"/>
    <col min="6678" max="6678" width="12.28515625" bestFit="1" customWidth="1"/>
    <col min="6913" max="6913" width="23.140625" customWidth="1"/>
    <col min="6917" max="6925" width="11.42578125" customWidth="1"/>
    <col min="6926" max="6927" width="12.28515625" bestFit="1" customWidth="1"/>
    <col min="6929" max="6929" width="12" customWidth="1"/>
    <col min="6931" max="6931" width="11.7109375" bestFit="1" customWidth="1"/>
    <col min="6933" max="6933" width="15.28515625" bestFit="1" customWidth="1"/>
    <col min="6934" max="6934" width="12.28515625" bestFit="1" customWidth="1"/>
    <col min="7169" max="7169" width="23.140625" customWidth="1"/>
    <col min="7173" max="7181" width="11.42578125" customWidth="1"/>
    <col min="7182" max="7183" width="12.28515625" bestFit="1" customWidth="1"/>
    <col min="7185" max="7185" width="12" customWidth="1"/>
    <col min="7187" max="7187" width="11.7109375" bestFit="1" customWidth="1"/>
    <col min="7189" max="7189" width="15.28515625" bestFit="1" customWidth="1"/>
    <col min="7190" max="7190" width="12.28515625" bestFit="1" customWidth="1"/>
    <col min="7425" max="7425" width="23.140625" customWidth="1"/>
    <col min="7429" max="7437" width="11.42578125" customWidth="1"/>
    <col min="7438" max="7439" width="12.28515625" bestFit="1" customWidth="1"/>
    <col min="7441" max="7441" width="12" customWidth="1"/>
    <col min="7443" max="7443" width="11.7109375" bestFit="1" customWidth="1"/>
    <col min="7445" max="7445" width="15.28515625" bestFit="1" customWidth="1"/>
    <col min="7446" max="7446" width="12.28515625" bestFit="1" customWidth="1"/>
    <col min="7681" max="7681" width="23.140625" customWidth="1"/>
    <col min="7685" max="7693" width="11.42578125" customWidth="1"/>
    <col min="7694" max="7695" width="12.28515625" bestFit="1" customWidth="1"/>
    <col min="7697" max="7697" width="12" customWidth="1"/>
    <col min="7699" max="7699" width="11.7109375" bestFit="1" customWidth="1"/>
    <col min="7701" max="7701" width="15.28515625" bestFit="1" customWidth="1"/>
    <col min="7702" max="7702" width="12.28515625" bestFit="1" customWidth="1"/>
    <col min="7937" max="7937" width="23.140625" customWidth="1"/>
    <col min="7941" max="7949" width="11.42578125" customWidth="1"/>
    <col min="7950" max="7951" width="12.28515625" bestFit="1" customWidth="1"/>
    <col min="7953" max="7953" width="12" customWidth="1"/>
    <col min="7955" max="7955" width="11.7109375" bestFit="1" customWidth="1"/>
    <col min="7957" max="7957" width="15.28515625" bestFit="1" customWidth="1"/>
    <col min="7958" max="7958" width="12.28515625" bestFit="1" customWidth="1"/>
    <col min="8193" max="8193" width="23.140625" customWidth="1"/>
    <col min="8197" max="8205" width="11.42578125" customWidth="1"/>
    <col min="8206" max="8207" width="12.28515625" bestFit="1" customWidth="1"/>
    <col min="8209" max="8209" width="12" customWidth="1"/>
    <col min="8211" max="8211" width="11.7109375" bestFit="1" customWidth="1"/>
    <col min="8213" max="8213" width="15.28515625" bestFit="1" customWidth="1"/>
    <col min="8214" max="8214" width="12.28515625" bestFit="1" customWidth="1"/>
    <col min="8449" max="8449" width="23.140625" customWidth="1"/>
    <col min="8453" max="8461" width="11.42578125" customWidth="1"/>
    <col min="8462" max="8463" width="12.28515625" bestFit="1" customWidth="1"/>
    <col min="8465" max="8465" width="12" customWidth="1"/>
    <col min="8467" max="8467" width="11.7109375" bestFit="1" customWidth="1"/>
    <col min="8469" max="8469" width="15.28515625" bestFit="1" customWidth="1"/>
    <col min="8470" max="8470" width="12.28515625" bestFit="1" customWidth="1"/>
    <col min="8705" max="8705" width="23.140625" customWidth="1"/>
    <col min="8709" max="8717" width="11.42578125" customWidth="1"/>
    <col min="8718" max="8719" width="12.28515625" bestFit="1" customWidth="1"/>
    <col min="8721" max="8721" width="12" customWidth="1"/>
    <col min="8723" max="8723" width="11.7109375" bestFit="1" customWidth="1"/>
    <col min="8725" max="8725" width="15.28515625" bestFit="1" customWidth="1"/>
    <col min="8726" max="8726" width="12.28515625" bestFit="1" customWidth="1"/>
    <col min="8961" max="8961" width="23.140625" customWidth="1"/>
    <col min="8965" max="8973" width="11.42578125" customWidth="1"/>
    <col min="8974" max="8975" width="12.28515625" bestFit="1" customWidth="1"/>
    <col min="8977" max="8977" width="12" customWidth="1"/>
    <col min="8979" max="8979" width="11.7109375" bestFit="1" customWidth="1"/>
    <col min="8981" max="8981" width="15.28515625" bestFit="1" customWidth="1"/>
    <col min="8982" max="8982" width="12.28515625" bestFit="1" customWidth="1"/>
    <col min="9217" max="9217" width="23.140625" customWidth="1"/>
    <col min="9221" max="9229" width="11.42578125" customWidth="1"/>
    <col min="9230" max="9231" width="12.28515625" bestFit="1" customWidth="1"/>
    <col min="9233" max="9233" width="12" customWidth="1"/>
    <col min="9235" max="9235" width="11.7109375" bestFit="1" customWidth="1"/>
    <col min="9237" max="9237" width="15.28515625" bestFit="1" customWidth="1"/>
    <col min="9238" max="9238" width="12.28515625" bestFit="1" customWidth="1"/>
    <col min="9473" max="9473" width="23.140625" customWidth="1"/>
    <col min="9477" max="9485" width="11.42578125" customWidth="1"/>
    <col min="9486" max="9487" width="12.28515625" bestFit="1" customWidth="1"/>
    <col min="9489" max="9489" width="12" customWidth="1"/>
    <col min="9491" max="9491" width="11.7109375" bestFit="1" customWidth="1"/>
    <col min="9493" max="9493" width="15.28515625" bestFit="1" customWidth="1"/>
    <col min="9494" max="9494" width="12.28515625" bestFit="1" customWidth="1"/>
    <col min="9729" max="9729" width="23.140625" customWidth="1"/>
    <col min="9733" max="9741" width="11.42578125" customWidth="1"/>
    <col min="9742" max="9743" width="12.28515625" bestFit="1" customWidth="1"/>
    <col min="9745" max="9745" width="12" customWidth="1"/>
    <col min="9747" max="9747" width="11.7109375" bestFit="1" customWidth="1"/>
    <col min="9749" max="9749" width="15.28515625" bestFit="1" customWidth="1"/>
    <col min="9750" max="9750" width="12.28515625" bestFit="1" customWidth="1"/>
    <col min="9985" max="9985" width="23.140625" customWidth="1"/>
    <col min="9989" max="9997" width="11.42578125" customWidth="1"/>
    <col min="9998" max="9999" width="12.28515625" bestFit="1" customWidth="1"/>
    <col min="10001" max="10001" width="12" customWidth="1"/>
    <col min="10003" max="10003" width="11.7109375" bestFit="1" customWidth="1"/>
    <col min="10005" max="10005" width="15.28515625" bestFit="1" customWidth="1"/>
    <col min="10006" max="10006" width="12.28515625" bestFit="1" customWidth="1"/>
    <col min="10241" max="10241" width="23.140625" customWidth="1"/>
    <col min="10245" max="10253" width="11.42578125" customWidth="1"/>
    <col min="10254" max="10255" width="12.28515625" bestFit="1" customWidth="1"/>
    <col min="10257" max="10257" width="12" customWidth="1"/>
    <col min="10259" max="10259" width="11.7109375" bestFit="1" customWidth="1"/>
    <col min="10261" max="10261" width="15.28515625" bestFit="1" customWidth="1"/>
    <col min="10262" max="10262" width="12.28515625" bestFit="1" customWidth="1"/>
    <col min="10497" max="10497" width="23.140625" customWidth="1"/>
    <col min="10501" max="10509" width="11.42578125" customWidth="1"/>
    <col min="10510" max="10511" width="12.28515625" bestFit="1" customWidth="1"/>
    <col min="10513" max="10513" width="12" customWidth="1"/>
    <col min="10515" max="10515" width="11.7109375" bestFit="1" customWidth="1"/>
    <col min="10517" max="10517" width="15.28515625" bestFit="1" customWidth="1"/>
    <col min="10518" max="10518" width="12.28515625" bestFit="1" customWidth="1"/>
    <col min="10753" max="10753" width="23.140625" customWidth="1"/>
    <col min="10757" max="10765" width="11.42578125" customWidth="1"/>
    <col min="10766" max="10767" width="12.28515625" bestFit="1" customWidth="1"/>
    <col min="10769" max="10769" width="12" customWidth="1"/>
    <col min="10771" max="10771" width="11.7109375" bestFit="1" customWidth="1"/>
    <col min="10773" max="10773" width="15.28515625" bestFit="1" customWidth="1"/>
    <col min="10774" max="10774" width="12.28515625" bestFit="1" customWidth="1"/>
    <col min="11009" max="11009" width="23.140625" customWidth="1"/>
    <col min="11013" max="11021" width="11.42578125" customWidth="1"/>
    <col min="11022" max="11023" width="12.28515625" bestFit="1" customWidth="1"/>
    <col min="11025" max="11025" width="12" customWidth="1"/>
    <col min="11027" max="11027" width="11.7109375" bestFit="1" customWidth="1"/>
    <col min="11029" max="11029" width="15.28515625" bestFit="1" customWidth="1"/>
    <col min="11030" max="11030" width="12.28515625" bestFit="1" customWidth="1"/>
    <col min="11265" max="11265" width="23.140625" customWidth="1"/>
    <col min="11269" max="11277" width="11.42578125" customWidth="1"/>
    <col min="11278" max="11279" width="12.28515625" bestFit="1" customWidth="1"/>
    <col min="11281" max="11281" width="12" customWidth="1"/>
    <col min="11283" max="11283" width="11.7109375" bestFit="1" customWidth="1"/>
    <col min="11285" max="11285" width="15.28515625" bestFit="1" customWidth="1"/>
    <col min="11286" max="11286" width="12.28515625" bestFit="1" customWidth="1"/>
    <col min="11521" max="11521" width="23.140625" customWidth="1"/>
    <col min="11525" max="11533" width="11.42578125" customWidth="1"/>
    <col min="11534" max="11535" width="12.28515625" bestFit="1" customWidth="1"/>
    <col min="11537" max="11537" width="12" customWidth="1"/>
    <col min="11539" max="11539" width="11.7109375" bestFit="1" customWidth="1"/>
    <col min="11541" max="11541" width="15.28515625" bestFit="1" customWidth="1"/>
    <col min="11542" max="11542" width="12.28515625" bestFit="1" customWidth="1"/>
    <col min="11777" max="11777" width="23.140625" customWidth="1"/>
    <col min="11781" max="11789" width="11.42578125" customWidth="1"/>
    <col min="11790" max="11791" width="12.28515625" bestFit="1" customWidth="1"/>
    <col min="11793" max="11793" width="12" customWidth="1"/>
    <col min="11795" max="11795" width="11.7109375" bestFit="1" customWidth="1"/>
    <col min="11797" max="11797" width="15.28515625" bestFit="1" customWidth="1"/>
    <col min="11798" max="11798" width="12.28515625" bestFit="1" customWidth="1"/>
    <col min="12033" max="12033" width="23.140625" customWidth="1"/>
    <col min="12037" max="12045" width="11.42578125" customWidth="1"/>
    <col min="12046" max="12047" width="12.28515625" bestFit="1" customWidth="1"/>
    <col min="12049" max="12049" width="12" customWidth="1"/>
    <col min="12051" max="12051" width="11.7109375" bestFit="1" customWidth="1"/>
    <col min="12053" max="12053" width="15.28515625" bestFit="1" customWidth="1"/>
    <col min="12054" max="12054" width="12.28515625" bestFit="1" customWidth="1"/>
    <col min="12289" max="12289" width="23.140625" customWidth="1"/>
    <col min="12293" max="12301" width="11.42578125" customWidth="1"/>
    <col min="12302" max="12303" width="12.28515625" bestFit="1" customWidth="1"/>
    <col min="12305" max="12305" width="12" customWidth="1"/>
    <col min="12307" max="12307" width="11.7109375" bestFit="1" customWidth="1"/>
    <col min="12309" max="12309" width="15.28515625" bestFit="1" customWidth="1"/>
    <col min="12310" max="12310" width="12.28515625" bestFit="1" customWidth="1"/>
    <col min="12545" max="12545" width="23.140625" customWidth="1"/>
    <col min="12549" max="12557" width="11.42578125" customWidth="1"/>
    <col min="12558" max="12559" width="12.28515625" bestFit="1" customWidth="1"/>
    <col min="12561" max="12561" width="12" customWidth="1"/>
    <col min="12563" max="12563" width="11.7109375" bestFit="1" customWidth="1"/>
    <col min="12565" max="12565" width="15.28515625" bestFit="1" customWidth="1"/>
    <col min="12566" max="12566" width="12.28515625" bestFit="1" customWidth="1"/>
    <col min="12801" max="12801" width="23.140625" customWidth="1"/>
    <col min="12805" max="12813" width="11.42578125" customWidth="1"/>
    <col min="12814" max="12815" width="12.28515625" bestFit="1" customWidth="1"/>
    <col min="12817" max="12817" width="12" customWidth="1"/>
    <col min="12819" max="12819" width="11.7109375" bestFit="1" customWidth="1"/>
    <col min="12821" max="12821" width="15.28515625" bestFit="1" customWidth="1"/>
    <col min="12822" max="12822" width="12.28515625" bestFit="1" customWidth="1"/>
    <col min="13057" max="13057" width="23.140625" customWidth="1"/>
    <col min="13061" max="13069" width="11.42578125" customWidth="1"/>
    <col min="13070" max="13071" width="12.28515625" bestFit="1" customWidth="1"/>
    <col min="13073" max="13073" width="12" customWidth="1"/>
    <col min="13075" max="13075" width="11.7109375" bestFit="1" customWidth="1"/>
    <col min="13077" max="13077" width="15.28515625" bestFit="1" customWidth="1"/>
    <col min="13078" max="13078" width="12.28515625" bestFit="1" customWidth="1"/>
    <col min="13313" max="13313" width="23.140625" customWidth="1"/>
    <col min="13317" max="13325" width="11.42578125" customWidth="1"/>
    <col min="13326" max="13327" width="12.28515625" bestFit="1" customWidth="1"/>
    <col min="13329" max="13329" width="12" customWidth="1"/>
    <col min="13331" max="13331" width="11.7109375" bestFit="1" customWidth="1"/>
    <col min="13333" max="13333" width="15.28515625" bestFit="1" customWidth="1"/>
    <col min="13334" max="13334" width="12.28515625" bestFit="1" customWidth="1"/>
    <col min="13569" max="13569" width="23.140625" customWidth="1"/>
    <col min="13573" max="13581" width="11.42578125" customWidth="1"/>
    <col min="13582" max="13583" width="12.28515625" bestFit="1" customWidth="1"/>
    <col min="13585" max="13585" width="12" customWidth="1"/>
    <col min="13587" max="13587" width="11.7109375" bestFit="1" customWidth="1"/>
    <col min="13589" max="13589" width="15.28515625" bestFit="1" customWidth="1"/>
    <col min="13590" max="13590" width="12.28515625" bestFit="1" customWidth="1"/>
    <col min="13825" max="13825" width="23.140625" customWidth="1"/>
    <col min="13829" max="13837" width="11.42578125" customWidth="1"/>
    <col min="13838" max="13839" width="12.28515625" bestFit="1" customWidth="1"/>
    <col min="13841" max="13841" width="12" customWidth="1"/>
    <col min="13843" max="13843" width="11.7109375" bestFit="1" customWidth="1"/>
    <col min="13845" max="13845" width="15.28515625" bestFit="1" customWidth="1"/>
    <col min="13846" max="13846" width="12.28515625" bestFit="1" customWidth="1"/>
    <col min="14081" max="14081" width="23.140625" customWidth="1"/>
    <col min="14085" max="14093" width="11.42578125" customWidth="1"/>
    <col min="14094" max="14095" width="12.28515625" bestFit="1" customWidth="1"/>
    <col min="14097" max="14097" width="12" customWidth="1"/>
    <col min="14099" max="14099" width="11.7109375" bestFit="1" customWidth="1"/>
    <col min="14101" max="14101" width="15.28515625" bestFit="1" customWidth="1"/>
    <col min="14102" max="14102" width="12.28515625" bestFit="1" customWidth="1"/>
    <col min="14337" max="14337" width="23.140625" customWidth="1"/>
    <col min="14341" max="14349" width="11.42578125" customWidth="1"/>
    <col min="14350" max="14351" width="12.28515625" bestFit="1" customWidth="1"/>
    <col min="14353" max="14353" width="12" customWidth="1"/>
    <col min="14355" max="14355" width="11.7109375" bestFit="1" customWidth="1"/>
    <col min="14357" max="14357" width="15.28515625" bestFit="1" customWidth="1"/>
    <col min="14358" max="14358" width="12.28515625" bestFit="1" customWidth="1"/>
    <col min="14593" max="14593" width="23.140625" customWidth="1"/>
    <col min="14597" max="14605" width="11.42578125" customWidth="1"/>
    <col min="14606" max="14607" width="12.28515625" bestFit="1" customWidth="1"/>
    <col min="14609" max="14609" width="12" customWidth="1"/>
    <col min="14611" max="14611" width="11.7109375" bestFit="1" customWidth="1"/>
    <col min="14613" max="14613" width="15.28515625" bestFit="1" customWidth="1"/>
    <col min="14614" max="14614" width="12.28515625" bestFit="1" customWidth="1"/>
    <col min="14849" max="14849" width="23.140625" customWidth="1"/>
    <col min="14853" max="14861" width="11.42578125" customWidth="1"/>
    <col min="14862" max="14863" width="12.28515625" bestFit="1" customWidth="1"/>
    <col min="14865" max="14865" width="12" customWidth="1"/>
    <col min="14867" max="14867" width="11.7109375" bestFit="1" customWidth="1"/>
    <col min="14869" max="14869" width="15.28515625" bestFit="1" customWidth="1"/>
    <col min="14870" max="14870" width="12.28515625" bestFit="1" customWidth="1"/>
    <col min="15105" max="15105" width="23.140625" customWidth="1"/>
    <col min="15109" max="15117" width="11.42578125" customWidth="1"/>
    <col min="15118" max="15119" width="12.28515625" bestFit="1" customWidth="1"/>
    <col min="15121" max="15121" width="12" customWidth="1"/>
    <col min="15123" max="15123" width="11.7109375" bestFit="1" customWidth="1"/>
    <col min="15125" max="15125" width="15.28515625" bestFit="1" customWidth="1"/>
    <col min="15126" max="15126" width="12.28515625" bestFit="1" customWidth="1"/>
    <col min="15361" max="15361" width="23.140625" customWidth="1"/>
    <col min="15365" max="15373" width="11.42578125" customWidth="1"/>
    <col min="15374" max="15375" width="12.28515625" bestFit="1" customWidth="1"/>
    <col min="15377" max="15377" width="12" customWidth="1"/>
    <col min="15379" max="15379" width="11.7109375" bestFit="1" customWidth="1"/>
    <col min="15381" max="15381" width="15.28515625" bestFit="1" customWidth="1"/>
    <col min="15382" max="15382" width="12.28515625" bestFit="1" customWidth="1"/>
    <col min="15617" max="15617" width="23.140625" customWidth="1"/>
    <col min="15621" max="15629" width="11.42578125" customWidth="1"/>
    <col min="15630" max="15631" width="12.28515625" bestFit="1" customWidth="1"/>
    <col min="15633" max="15633" width="12" customWidth="1"/>
    <col min="15635" max="15635" width="11.7109375" bestFit="1" customWidth="1"/>
    <col min="15637" max="15637" width="15.28515625" bestFit="1" customWidth="1"/>
    <col min="15638" max="15638" width="12.28515625" bestFit="1" customWidth="1"/>
    <col min="15873" max="15873" width="23.140625" customWidth="1"/>
    <col min="15877" max="15885" width="11.42578125" customWidth="1"/>
    <col min="15886" max="15887" width="12.28515625" bestFit="1" customWidth="1"/>
    <col min="15889" max="15889" width="12" customWidth="1"/>
    <col min="15891" max="15891" width="11.7109375" bestFit="1" customWidth="1"/>
    <col min="15893" max="15893" width="15.28515625" bestFit="1" customWidth="1"/>
    <col min="15894" max="15894" width="12.28515625" bestFit="1" customWidth="1"/>
    <col min="16129" max="16129" width="23.140625" customWidth="1"/>
    <col min="16133" max="16141" width="11.42578125" customWidth="1"/>
    <col min="16142" max="16143" width="12.28515625" bestFit="1" customWidth="1"/>
    <col min="16145" max="16145" width="12" customWidth="1"/>
    <col min="16147" max="16147" width="11.7109375" bestFit="1" customWidth="1"/>
    <col min="16149" max="16149" width="15.28515625" bestFit="1" customWidth="1"/>
    <col min="16150" max="16150" width="12.28515625" bestFit="1" customWidth="1"/>
  </cols>
  <sheetData>
    <row r="1" spans="1:30">
      <c r="A1" s="364" t="s">
        <v>25</v>
      </c>
      <c r="B1" s="365"/>
      <c r="C1" s="366"/>
      <c r="D1" s="365"/>
      <c r="E1" s="365"/>
      <c r="F1" s="365"/>
      <c r="G1" s="365"/>
    </row>
    <row r="2" spans="1:30">
      <c r="A2" s="970" t="s">
        <v>26</v>
      </c>
      <c r="B2" s="970"/>
      <c r="C2" s="970"/>
      <c r="D2" s="970"/>
      <c r="E2" s="970"/>
      <c r="F2" s="970"/>
      <c r="G2" s="970"/>
    </row>
    <row r="3" spans="1:30" ht="25.5" customHeight="1">
      <c r="A3" s="970" t="s">
        <v>631</v>
      </c>
      <c r="B3" s="970"/>
      <c r="C3" s="970"/>
      <c r="D3" s="970"/>
      <c r="E3" s="970"/>
      <c r="F3" s="970"/>
      <c r="G3" s="970"/>
    </row>
    <row r="4" spans="1:30" ht="15.75" thickBot="1">
      <c r="A4" s="970" t="s">
        <v>472</v>
      </c>
      <c r="B4" s="970"/>
      <c r="C4" s="970"/>
      <c r="D4" s="970"/>
      <c r="E4" s="970"/>
      <c r="F4" s="970"/>
      <c r="G4" s="970"/>
    </row>
    <row r="5" spans="1:30">
      <c r="A5" s="971" t="s">
        <v>567</v>
      </c>
      <c r="B5" s="974" t="s">
        <v>38</v>
      </c>
      <c r="C5" s="974" t="s">
        <v>36</v>
      </c>
      <c r="D5" s="977" t="s">
        <v>99</v>
      </c>
      <c r="E5" s="977" t="s">
        <v>30</v>
      </c>
      <c r="F5" s="977"/>
      <c r="G5" s="977"/>
      <c r="H5" s="977"/>
      <c r="I5" s="977"/>
      <c r="J5" s="977"/>
      <c r="K5" s="977"/>
      <c r="L5" s="977"/>
      <c r="M5" s="977"/>
      <c r="N5" s="977"/>
      <c r="O5" s="977"/>
      <c r="P5" s="977"/>
      <c r="Q5" s="977"/>
      <c r="R5" s="977"/>
      <c r="S5" s="977"/>
      <c r="T5" s="977"/>
      <c r="U5" s="980"/>
      <c r="V5" s="367"/>
      <c r="W5" s="367"/>
      <c r="X5" s="367"/>
      <c r="Y5" s="367"/>
      <c r="Z5" s="367"/>
      <c r="AA5" s="133"/>
      <c r="AB5" s="133"/>
      <c r="AC5" s="133"/>
      <c r="AD5" s="133"/>
    </row>
    <row r="6" spans="1:30">
      <c r="A6" s="972"/>
      <c r="B6" s="975"/>
      <c r="C6" s="975"/>
      <c r="D6" s="978"/>
      <c r="E6" s="978"/>
      <c r="F6" s="978"/>
      <c r="G6" s="978"/>
      <c r="H6" s="978"/>
      <c r="I6" s="978"/>
      <c r="J6" s="978"/>
      <c r="K6" s="978"/>
      <c r="L6" s="978"/>
      <c r="M6" s="978"/>
      <c r="N6" s="978"/>
      <c r="O6" s="978"/>
      <c r="P6" s="978"/>
      <c r="Q6" s="978"/>
      <c r="R6" s="978"/>
      <c r="S6" s="978"/>
      <c r="T6" s="978"/>
      <c r="U6" s="981"/>
      <c r="V6" s="367"/>
      <c r="W6" s="367"/>
      <c r="X6" s="367"/>
      <c r="Y6" s="367"/>
      <c r="Z6" s="367"/>
      <c r="AA6" s="133"/>
      <c r="AB6" s="133"/>
      <c r="AC6" s="133"/>
      <c r="AD6" s="133"/>
    </row>
    <row r="7" spans="1:30" ht="15.75" thickBot="1">
      <c r="A7" s="973"/>
      <c r="B7" s="976"/>
      <c r="C7" s="976"/>
      <c r="D7" s="979"/>
      <c r="E7" s="724">
        <v>11</v>
      </c>
      <c r="F7" s="724">
        <v>12</v>
      </c>
      <c r="G7" s="724">
        <v>13</v>
      </c>
      <c r="H7" s="724">
        <v>14</v>
      </c>
      <c r="I7" s="724">
        <v>15</v>
      </c>
      <c r="J7" s="724">
        <v>21</v>
      </c>
      <c r="K7" s="724">
        <v>22</v>
      </c>
      <c r="L7" s="724">
        <v>26</v>
      </c>
      <c r="M7" s="724">
        <v>27</v>
      </c>
      <c r="N7" s="724">
        <v>29</v>
      </c>
      <c r="O7" s="725">
        <v>31</v>
      </c>
      <c r="P7" s="725">
        <v>32</v>
      </c>
      <c r="Q7" s="725">
        <v>33</v>
      </c>
      <c r="R7" s="725">
        <v>71</v>
      </c>
      <c r="S7" s="725">
        <v>72</v>
      </c>
      <c r="T7" s="725">
        <v>73</v>
      </c>
      <c r="U7" s="726">
        <v>133</v>
      </c>
      <c r="V7" s="367"/>
      <c r="W7" s="367"/>
      <c r="X7" s="367"/>
      <c r="Y7" s="367"/>
      <c r="Z7" s="367"/>
      <c r="AA7" s="133"/>
      <c r="AB7" s="133"/>
      <c r="AC7" s="133"/>
      <c r="AD7" s="133"/>
    </row>
    <row r="8" spans="1:30" ht="22.5">
      <c r="A8" s="707" t="s">
        <v>632</v>
      </c>
      <c r="B8" s="717" t="s">
        <v>568</v>
      </c>
      <c r="C8" s="718">
        <v>1</v>
      </c>
      <c r="D8" s="719">
        <v>10000</v>
      </c>
      <c r="E8" s="719"/>
      <c r="F8" s="719"/>
      <c r="G8" s="719"/>
      <c r="H8" s="719"/>
      <c r="I8" s="719"/>
      <c r="J8" s="719">
        <v>120000</v>
      </c>
      <c r="K8" s="719"/>
      <c r="L8" s="719">
        <v>4500</v>
      </c>
      <c r="M8" s="719">
        <v>27000</v>
      </c>
      <c r="N8" s="719"/>
      <c r="O8" s="720"/>
      <c r="P8" s="720"/>
      <c r="Q8" s="721"/>
      <c r="R8" s="722">
        <v>12375</v>
      </c>
      <c r="S8" s="722">
        <v>12375</v>
      </c>
      <c r="T8" s="722">
        <v>200</v>
      </c>
      <c r="U8" s="723"/>
      <c r="V8" s="367"/>
      <c r="W8" s="367"/>
      <c r="X8" s="367"/>
      <c r="Y8" s="367"/>
      <c r="Z8" s="367"/>
      <c r="AA8" s="133"/>
      <c r="AB8" s="133"/>
      <c r="AC8" s="133"/>
      <c r="AD8" s="133"/>
    </row>
    <row r="9" spans="1:30" ht="22.5">
      <c r="A9" s="3" t="s">
        <v>633</v>
      </c>
      <c r="B9" s="368" t="s">
        <v>568</v>
      </c>
      <c r="C9" s="369">
        <v>1</v>
      </c>
      <c r="D9" s="137">
        <v>10000</v>
      </c>
      <c r="E9" s="137"/>
      <c r="F9" s="137"/>
      <c r="G9" s="137"/>
      <c r="H9" s="137"/>
      <c r="I9" s="137"/>
      <c r="J9" s="137">
        <v>120000</v>
      </c>
      <c r="K9" s="137"/>
      <c r="L9" s="137"/>
      <c r="M9" s="137">
        <v>27000</v>
      </c>
      <c r="N9" s="137"/>
      <c r="O9" s="140"/>
      <c r="P9" s="138"/>
      <c r="Q9" s="139"/>
      <c r="R9" s="203">
        <v>12000</v>
      </c>
      <c r="S9" s="203">
        <f>+R9</f>
        <v>12000</v>
      </c>
      <c r="T9" s="203">
        <v>200</v>
      </c>
      <c r="U9" s="206"/>
      <c r="V9" s="367"/>
      <c r="W9" s="367"/>
      <c r="X9" s="367"/>
      <c r="Y9" s="367"/>
      <c r="Z9" s="367"/>
      <c r="AA9" s="133"/>
      <c r="AB9" s="133"/>
      <c r="AC9" s="133"/>
      <c r="AD9" s="133"/>
    </row>
    <row r="10" spans="1:30" ht="22.5">
      <c r="A10" s="3" t="s">
        <v>634</v>
      </c>
      <c r="B10" s="368" t="s">
        <v>568</v>
      </c>
      <c r="C10" s="369">
        <v>1</v>
      </c>
      <c r="D10" s="137">
        <v>10000</v>
      </c>
      <c r="E10" s="137"/>
      <c r="F10" s="137"/>
      <c r="G10" s="137"/>
      <c r="H10" s="137"/>
      <c r="I10" s="137"/>
      <c r="J10" s="137">
        <v>120000</v>
      </c>
      <c r="K10" s="137"/>
      <c r="L10" s="137">
        <v>4500</v>
      </c>
      <c r="M10" s="137">
        <v>27000</v>
      </c>
      <c r="N10" s="137"/>
      <c r="O10" s="140"/>
      <c r="P10" s="138"/>
      <c r="Q10" s="139"/>
      <c r="R10" s="203">
        <v>12375</v>
      </c>
      <c r="S10" s="203">
        <v>12375</v>
      </c>
      <c r="T10" s="203">
        <v>200</v>
      </c>
      <c r="U10" s="206"/>
      <c r="V10" s="367"/>
      <c r="W10" s="367"/>
      <c r="X10" s="367"/>
      <c r="Y10" s="367"/>
      <c r="Z10" s="367"/>
      <c r="AA10" s="133"/>
      <c r="AB10" s="133"/>
      <c r="AC10" s="133"/>
      <c r="AD10" s="133"/>
    </row>
    <row r="11" spans="1:30">
      <c r="A11" s="3" t="s">
        <v>635</v>
      </c>
      <c r="B11" s="368" t="s">
        <v>24</v>
      </c>
      <c r="C11" s="370">
        <v>1</v>
      </c>
      <c r="D11" s="137">
        <v>2000</v>
      </c>
      <c r="E11" s="137"/>
      <c r="F11" s="137"/>
      <c r="G11" s="137"/>
      <c r="H11" s="137"/>
      <c r="I11" s="137"/>
      <c r="J11" s="137">
        <v>24000</v>
      </c>
      <c r="K11" s="137"/>
      <c r="L11" s="137"/>
      <c r="M11" s="137">
        <v>21000</v>
      </c>
      <c r="N11" s="137"/>
      <c r="O11" s="140"/>
      <c r="P11" s="138"/>
      <c r="Q11" s="139"/>
      <c r="R11" s="203">
        <v>3500</v>
      </c>
      <c r="S11" s="203">
        <v>3500</v>
      </c>
      <c r="T11" s="203">
        <v>200</v>
      </c>
      <c r="U11" s="206"/>
      <c r="V11" s="367"/>
      <c r="W11" s="367"/>
      <c r="X11" s="367"/>
      <c r="Y11" s="367"/>
      <c r="Z11" s="367"/>
      <c r="AA11" s="133"/>
      <c r="AB11" s="133"/>
      <c r="AC11" s="133"/>
      <c r="AD11" s="133"/>
    </row>
    <row r="12" spans="1:30">
      <c r="A12" s="3" t="s">
        <v>65</v>
      </c>
      <c r="B12" s="368" t="s">
        <v>568</v>
      </c>
      <c r="C12" s="370">
        <v>1</v>
      </c>
      <c r="D12" s="137">
        <v>2000</v>
      </c>
      <c r="E12" s="137"/>
      <c r="F12" s="137"/>
      <c r="G12" s="137"/>
      <c r="H12" s="137"/>
      <c r="I12" s="137"/>
      <c r="J12" s="137">
        <v>24000</v>
      </c>
      <c r="K12" s="137"/>
      <c r="L12" s="137"/>
      <c r="M12" s="137">
        <v>21000</v>
      </c>
      <c r="N12" s="137"/>
      <c r="O12" s="140"/>
      <c r="P12" s="138"/>
      <c r="Q12" s="139"/>
      <c r="R12" s="203">
        <v>3500</v>
      </c>
      <c r="S12" s="203">
        <v>3500</v>
      </c>
      <c r="T12" s="203">
        <v>200</v>
      </c>
      <c r="U12" s="206"/>
      <c r="V12" s="367"/>
      <c r="W12" s="367"/>
      <c r="X12" s="367"/>
      <c r="Y12" s="367"/>
      <c r="Z12" s="367"/>
      <c r="AA12" s="133"/>
      <c r="AB12" s="133"/>
      <c r="AC12" s="133"/>
      <c r="AD12" s="133"/>
    </row>
    <row r="13" spans="1:30" ht="22.5">
      <c r="A13" s="3" t="s">
        <v>636</v>
      </c>
      <c r="B13" s="368" t="s">
        <v>568</v>
      </c>
      <c r="C13" s="370">
        <v>1</v>
      </c>
      <c r="D13" s="137">
        <v>15500</v>
      </c>
      <c r="E13" s="137"/>
      <c r="F13" s="137"/>
      <c r="G13" s="137"/>
      <c r="H13" s="137"/>
      <c r="I13" s="137"/>
      <c r="J13" s="137">
        <v>186000</v>
      </c>
      <c r="K13" s="137"/>
      <c r="L13" s="137">
        <v>4500</v>
      </c>
      <c r="M13" s="137">
        <v>51000</v>
      </c>
      <c r="N13" s="137"/>
      <c r="O13" s="140"/>
      <c r="P13" s="138"/>
      <c r="Q13" s="139"/>
      <c r="R13" s="203">
        <v>19875</v>
      </c>
      <c r="S13" s="203">
        <v>19875</v>
      </c>
      <c r="T13" s="203">
        <v>200</v>
      </c>
      <c r="U13" s="206"/>
      <c r="V13" s="367"/>
      <c r="W13" s="367"/>
      <c r="X13" s="367"/>
      <c r="Y13" s="367"/>
      <c r="Z13" s="367"/>
      <c r="AA13" s="133"/>
      <c r="AB13" s="133"/>
      <c r="AC13" s="133"/>
      <c r="AD13" s="133"/>
    </row>
    <row r="14" spans="1:30">
      <c r="A14" s="371" t="s">
        <v>59</v>
      </c>
      <c r="B14" s="368" t="s">
        <v>568</v>
      </c>
      <c r="C14" s="370">
        <v>1</v>
      </c>
      <c r="D14" s="141">
        <v>25000</v>
      </c>
      <c r="E14" s="137"/>
      <c r="F14" s="137"/>
      <c r="G14" s="137"/>
      <c r="H14" s="137"/>
      <c r="I14" s="137"/>
      <c r="J14" s="137"/>
      <c r="K14" s="137">
        <v>300000</v>
      </c>
      <c r="L14" s="137"/>
      <c r="M14" s="137">
        <v>3000</v>
      </c>
      <c r="N14" s="137"/>
      <c r="O14" s="140"/>
      <c r="P14" s="138"/>
      <c r="Q14" s="139"/>
      <c r="R14" s="203">
        <v>25000</v>
      </c>
      <c r="S14" s="203">
        <v>25000</v>
      </c>
      <c r="T14" s="203">
        <v>200</v>
      </c>
      <c r="U14" s="206"/>
      <c r="V14" s="367"/>
      <c r="W14" s="367"/>
      <c r="X14" s="367"/>
      <c r="Y14" s="367"/>
      <c r="Z14" s="367"/>
      <c r="AA14" s="133"/>
      <c r="AB14" s="133"/>
      <c r="AC14" s="133"/>
      <c r="AD14" s="133"/>
    </row>
    <row r="15" spans="1:30">
      <c r="A15" s="371" t="s">
        <v>61</v>
      </c>
      <c r="B15" s="368" t="s">
        <v>568</v>
      </c>
      <c r="C15" s="370">
        <v>1</v>
      </c>
      <c r="D15" s="141">
        <v>16000</v>
      </c>
      <c r="E15" s="137"/>
      <c r="F15" s="137"/>
      <c r="G15" s="137"/>
      <c r="H15" s="137"/>
      <c r="I15" s="137"/>
      <c r="J15" s="137"/>
      <c r="K15" s="137">
        <v>192000</v>
      </c>
      <c r="L15" s="137">
        <v>4500</v>
      </c>
      <c r="M15" s="137">
        <v>3000</v>
      </c>
      <c r="N15" s="137"/>
      <c r="O15" s="140"/>
      <c r="P15" s="138"/>
      <c r="Q15" s="139"/>
      <c r="R15" s="203">
        <v>16375</v>
      </c>
      <c r="S15" s="203">
        <v>16375</v>
      </c>
      <c r="T15" s="203">
        <v>200</v>
      </c>
      <c r="U15" s="206"/>
      <c r="V15" s="367"/>
      <c r="W15" s="367"/>
      <c r="X15" s="367"/>
      <c r="Y15" s="367"/>
      <c r="Z15" s="367"/>
      <c r="AA15" s="133"/>
      <c r="AB15" s="133"/>
      <c r="AC15" s="133"/>
      <c r="AD15" s="133"/>
    </row>
    <row r="16" spans="1:30">
      <c r="A16" s="371" t="s">
        <v>61</v>
      </c>
      <c r="B16" s="368" t="s">
        <v>568</v>
      </c>
      <c r="C16" s="370">
        <v>1</v>
      </c>
      <c r="D16" s="141">
        <v>13000</v>
      </c>
      <c r="E16" s="137"/>
      <c r="F16" s="137"/>
      <c r="G16" s="137"/>
      <c r="H16" s="137"/>
      <c r="I16" s="137"/>
      <c r="J16" s="137"/>
      <c r="K16" s="137">
        <v>156000</v>
      </c>
      <c r="L16" s="137">
        <v>4500</v>
      </c>
      <c r="M16" s="137">
        <v>3000</v>
      </c>
      <c r="N16" s="137"/>
      <c r="O16" s="140"/>
      <c r="P16" s="138"/>
      <c r="Q16" s="139"/>
      <c r="R16" s="203">
        <v>13375</v>
      </c>
      <c r="S16" s="203">
        <v>13375</v>
      </c>
      <c r="T16" s="203">
        <v>200</v>
      </c>
      <c r="U16" s="206"/>
      <c r="V16" s="367"/>
      <c r="W16" s="367"/>
      <c r="X16" s="367"/>
      <c r="Y16" s="367"/>
      <c r="Z16" s="367"/>
      <c r="AA16" s="133"/>
      <c r="AB16" s="133"/>
      <c r="AC16" s="133"/>
      <c r="AD16" s="133"/>
    </row>
    <row r="17" spans="1:30">
      <c r="A17" s="371" t="s">
        <v>114</v>
      </c>
      <c r="B17" s="368" t="s">
        <v>568</v>
      </c>
      <c r="C17" s="370">
        <v>2</v>
      </c>
      <c r="D17" s="141">
        <v>10000</v>
      </c>
      <c r="E17" s="137"/>
      <c r="F17" s="137"/>
      <c r="G17" s="137"/>
      <c r="H17" s="137"/>
      <c r="I17" s="137"/>
      <c r="J17" s="137"/>
      <c r="K17" s="137">
        <v>240000</v>
      </c>
      <c r="L17" s="137"/>
      <c r="M17" s="137">
        <v>6000</v>
      </c>
      <c r="N17" s="137"/>
      <c r="O17" s="140"/>
      <c r="P17" s="138"/>
      <c r="Q17" s="139"/>
      <c r="R17" s="203">
        <v>20000</v>
      </c>
      <c r="S17" s="203">
        <v>20000</v>
      </c>
      <c r="T17" s="203">
        <v>400</v>
      </c>
      <c r="U17" s="206"/>
      <c r="V17" s="367"/>
      <c r="W17" s="367"/>
      <c r="X17" s="367"/>
      <c r="Y17" s="367"/>
      <c r="Z17" s="367"/>
      <c r="AA17" s="133"/>
      <c r="AB17" s="133"/>
      <c r="AC17" s="133"/>
      <c r="AD17" s="133"/>
    </row>
    <row r="18" spans="1:30">
      <c r="A18" s="371" t="s">
        <v>569</v>
      </c>
      <c r="B18" s="368" t="s">
        <v>568</v>
      </c>
      <c r="C18" s="370">
        <v>1</v>
      </c>
      <c r="D18" s="141">
        <v>5000</v>
      </c>
      <c r="E18" s="137"/>
      <c r="F18" s="137"/>
      <c r="G18" s="137"/>
      <c r="H18" s="137"/>
      <c r="I18" s="137"/>
      <c r="J18" s="137"/>
      <c r="K18" s="137">
        <v>60000</v>
      </c>
      <c r="L18" s="137"/>
      <c r="M18" s="137">
        <v>3000</v>
      </c>
      <c r="N18" s="137"/>
      <c r="O18" s="140"/>
      <c r="P18" s="138"/>
      <c r="Q18" s="139"/>
      <c r="R18" s="203">
        <v>5000</v>
      </c>
      <c r="S18" s="203">
        <v>5000</v>
      </c>
      <c r="T18" s="203">
        <v>200</v>
      </c>
      <c r="U18" s="206"/>
      <c r="V18" s="367"/>
      <c r="W18" s="367"/>
      <c r="X18" s="367"/>
      <c r="Y18" s="367"/>
      <c r="Z18" s="367"/>
      <c r="AA18" s="133"/>
      <c r="AB18" s="133"/>
      <c r="AC18" s="133"/>
      <c r="AD18" s="133"/>
    </row>
    <row r="19" spans="1:30">
      <c r="A19" s="371" t="s">
        <v>569</v>
      </c>
      <c r="B19" s="368" t="s">
        <v>568</v>
      </c>
      <c r="C19" s="370">
        <v>1</v>
      </c>
      <c r="D19" s="141">
        <v>4000</v>
      </c>
      <c r="E19" s="137"/>
      <c r="F19" s="137"/>
      <c r="G19" s="137"/>
      <c r="H19" s="137"/>
      <c r="I19" s="137"/>
      <c r="J19" s="137"/>
      <c r="K19" s="137">
        <v>48000</v>
      </c>
      <c r="L19" s="137"/>
      <c r="M19" s="137">
        <v>3000</v>
      </c>
      <c r="N19" s="137"/>
      <c r="O19" s="140"/>
      <c r="P19" s="138"/>
      <c r="Q19" s="139"/>
      <c r="R19" s="203">
        <v>4000</v>
      </c>
      <c r="S19" s="203">
        <v>4000</v>
      </c>
      <c r="T19" s="203">
        <v>200</v>
      </c>
      <c r="U19" s="206"/>
      <c r="V19" s="367"/>
      <c r="W19" s="367"/>
      <c r="X19" s="367"/>
      <c r="Y19" s="367"/>
      <c r="Z19" s="367"/>
      <c r="AA19" s="133"/>
      <c r="AB19" s="133"/>
      <c r="AC19" s="133"/>
      <c r="AD19" s="133"/>
    </row>
    <row r="20" spans="1:30" ht="23.25">
      <c r="A20" s="371" t="s">
        <v>570</v>
      </c>
      <c r="B20" s="368" t="s">
        <v>568</v>
      </c>
      <c r="C20" s="370">
        <v>1</v>
      </c>
      <c r="D20" s="141">
        <v>5000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>
        <v>60000</v>
      </c>
      <c r="O20" s="140"/>
      <c r="P20" s="140"/>
      <c r="Q20" s="140"/>
      <c r="R20" s="204"/>
      <c r="S20" s="204"/>
      <c r="T20" s="204"/>
      <c r="U20" s="207"/>
      <c r="V20" s="367"/>
      <c r="W20" s="367"/>
      <c r="X20" s="367"/>
      <c r="Y20" s="367"/>
      <c r="Z20" s="367"/>
      <c r="AA20" s="133"/>
      <c r="AB20" s="133"/>
      <c r="AC20" s="133"/>
      <c r="AD20" s="133"/>
    </row>
    <row r="21" spans="1:30" ht="34.5">
      <c r="A21" s="371" t="s">
        <v>571</v>
      </c>
      <c r="B21" s="368" t="s">
        <v>568</v>
      </c>
      <c r="C21" s="370">
        <v>1</v>
      </c>
      <c r="D21" s="141">
        <v>4600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>
        <v>55200</v>
      </c>
      <c r="O21" s="140"/>
      <c r="P21" s="140"/>
      <c r="Q21" s="140"/>
      <c r="R21" s="204"/>
      <c r="S21" s="204"/>
      <c r="T21" s="204"/>
      <c r="U21" s="207"/>
      <c r="V21" s="367"/>
      <c r="W21" s="367"/>
      <c r="X21" s="367"/>
      <c r="Y21" s="367"/>
      <c r="Z21" s="367"/>
      <c r="AA21" s="133"/>
      <c r="AB21" s="133"/>
      <c r="AC21" s="133"/>
      <c r="AD21" s="133"/>
    </row>
    <row r="22" spans="1:30" ht="34.5">
      <c r="A22" s="371" t="s">
        <v>572</v>
      </c>
      <c r="B22" s="368" t="s">
        <v>568</v>
      </c>
      <c r="C22" s="370">
        <v>1</v>
      </c>
      <c r="D22" s="141">
        <v>5737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>
        <v>68844</v>
      </c>
      <c r="O22" s="140"/>
      <c r="P22" s="140"/>
      <c r="Q22" s="140"/>
      <c r="R22" s="204"/>
      <c r="S22" s="204"/>
      <c r="T22" s="204"/>
      <c r="U22" s="207"/>
      <c r="V22" s="367"/>
      <c r="W22" s="367"/>
      <c r="X22" s="367"/>
      <c r="Y22" s="367"/>
      <c r="Z22" s="367"/>
      <c r="AA22" s="133"/>
      <c r="AB22" s="133"/>
      <c r="AC22" s="133"/>
      <c r="AD22" s="133"/>
    </row>
    <row r="23" spans="1:30" ht="23.25">
      <c r="A23" s="371" t="s">
        <v>573</v>
      </c>
      <c r="B23" s="368" t="s">
        <v>568</v>
      </c>
      <c r="C23" s="370">
        <v>1</v>
      </c>
      <c r="D23" s="141">
        <v>5500</v>
      </c>
      <c r="E23" s="137"/>
      <c r="F23" s="137"/>
      <c r="G23" s="137"/>
      <c r="H23" s="137"/>
      <c r="I23" s="137"/>
      <c r="J23" s="137"/>
      <c r="K23" s="137"/>
      <c r="L23" s="137"/>
      <c r="M23" s="137"/>
      <c r="N23" s="137">
        <v>66000</v>
      </c>
      <c r="O23" s="140"/>
      <c r="P23" s="140"/>
      <c r="Q23" s="140"/>
      <c r="R23" s="204"/>
      <c r="S23" s="204"/>
      <c r="T23" s="204"/>
      <c r="U23" s="207"/>
      <c r="V23" s="367"/>
      <c r="W23" s="367"/>
      <c r="X23" s="367"/>
      <c r="Y23" s="367"/>
      <c r="Z23" s="367"/>
      <c r="AA23" s="133"/>
      <c r="AB23" s="133"/>
      <c r="AC23" s="133"/>
      <c r="AD23" s="133"/>
    </row>
    <row r="24" spans="1:30" ht="23.25">
      <c r="A24" s="371" t="s">
        <v>573</v>
      </c>
      <c r="B24" s="368" t="s">
        <v>568</v>
      </c>
      <c r="C24" s="370">
        <v>1</v>
      </c>
      <c r="D24" s="141">
        <v>5000</v>
      </c>
      <c r="E24" s="137"/>
      <c r="F24" s="137"/>
      <c r="G24" s="137"/>
      <c r="H24" s="137"/>
      <c r="I24" s="137"/>
      <c r="J24" s="137"/>
      <c r="K24" s="137"/>
      <c r="L24" s="137"/>
      <c r="M24" s="137"/>
      <c r="N24" s="137">
        <v>60000</v>
      </c>
      <c r="O24" s="140"/>
      <c r="P24" s="140"/>
      <c r="Q24" s="140"/>
      <c r="R24" s="204"/>
      <c r="S24" s="204"/>
      <c r="T24" s="204"/>
      <c r="U24" s="207"/>
      <c r="V24" s="367"/>
      <c r="W24" s="367"/>
      <c r="X24" s="367"/>
      <c r="Y24" s="367"/>
      <c r="Z24" s="367"/>
      <c r="AA24" s="133"/>
      <c r="AB24" s="133"/>
      <c r="AC24" s="133"/>
      <c r="AD24" s="133"/>
    </row>
    <row r="25" spans="1:30" ht="23.25">
      <c r="A25" s="371" t="s">
        <v>574</v>
      </c>
      <c r="B25" s="368" t="s">
        <v>568</v>
      </c>
      <c r="C25" s="370">
        <v>1</v>
      </c>
      <c r="D25" s="141">
        <v>4200</v>
      </c>
      <c r="E25" s="137"/>
      <c r="F25" s="137"/>
      <c r="G25" s="137"/>
      <c r="H25" s="137"/>
      <c r="I25" s="137"/>
      <c r="J25" s="137"/>
      <c r="K25" s="137"/>
      <c r="L25" s="137"/>
      <c r="M25" s="137"/>
      <c r="N25" s="137">
        <v>50400</v>
      </c>
      <c r="O25" s="140"/>
      <c r="P25" s="140"/>
      <c r="Q25" s="140"/>
      <c r="R25" s="204"/>
      <c r="S25" s="204"/>
      <c r="T25" s="204"/>
      <c r="U25" s="207"/>
      <c r="V25" s="367"/>
      <c r="W25" s="367"/>
      <c r="X25" s="367"/>
      <c r="Y25" s="367"/>
      <c r="Z25" s="367"/>
      <c r="AA25" s="133"/>
      <c r="AB25" s="133"/>
      <c r="AC25" s="133"/>
      <c r="AD25" s="133"/>
    </row>
    <row r="26" spans="1:30" ht="23.25">
      <c r="A26" s="371" t="s">
        <v>575</v>
      </c>
      <c r="B26" s="368" t="s">
        <v>568</v>
      </c>
      <c r="C26" s="370">
        <v>1</v>
      </c>
      <c r="D26" s="141">
        <v>13500</v>
      </c>
      <c r="E26" s="137"/>
      <c r="F26" s="137"/>
      <c r="G26" s="137"/>
      <c r="H26" s="137"/>
      <c r="I26" s="137"/>
      <c r="J26" s="137"/>
      <c r="K26" s="137"/>
      <c r="L26" s="137"/>
      <c r="M26" s="137"/>
      <c r="N26" s="137">
        <v>162000</v>
      </c>
      <c r="O26" s="140"/>
      <c r="P26" s="140"/>
      <c r="Q26" s="140"/>
      <c r="R26" s="204"/>
      <c r="S26" s="204"/>
      <c r="T26" s="204"/>
      <c r="U26" s="207"/>
      <c r="V26" s="367"/>
      <c r="W26" s="367"/>
      <c r="X26" s="367"/>
      <c r="Y26" s="367"/>
      <c r="Z26" s="367"/>
      <c r="AA26" s="133"/>
      <c r="AB26" s="133"/>
      <c r="AC26" s="133"/>
      <c r="AD26" s="133"/>
    </row>
    <row r="27" spans="1:30" ht="23.25">
      <c r="A27" s="371" t="s">
        <v>576</v>
      </c>
      <c r="B27" s="368" t="s">
        <v>568</v>
      </c>
      <c r="C27" s="370">
        <v>1</v>
      </c>
      <c r="D27" s="141">
        <v>11500</v>
      </c>
      <c r="E27" s="137"/>
      <c r="F27" s="137"/>
      <c r="G27" s="137"/>
      <c r="H27" s="137"/>
      <c r="I27" s="137"/>
      <c r="J27" s="137"/>
      <c r="K27" s="137"/>
      <c r="L27" s="137"/>
      <c r="M27" s="137"/>
      <c r="N27" s="137">
        <v>138000</v>
      </c>
      <c r="O27" s="140"/>
      <c r="P27" s="140"/>
      <c r="Q27" s="140"/>
      <c r="R27" s="204"/>
      <c r="S27" s="204"/>
      <c r="T27" s="204"/>
      <c r="U27" s="207"/>
      <c r="V27" s="367"/>
      <c r="W27" s="367"/>
      <c r="X27" s="367"/>
      <c r="Y27" s="367"/>
      <c r="Z27" s="367"/>
      <c r="AA27" s="133"/>
      <c r="AB27" s="133"/>
      <c r="AC27" s="133"/>
      <c r="AD27" s="133"/>
    </row>
    <row r="28" spans="1:30" ht="34.5">
      <c r="A28" s="371" t="s">
        <v>577</v>
      </c>
      <c r="B28" s="368" t="s">
        <v>568</v>
      </c>
      <c r="C28" s="370">
        <v>1</v>
      </c>
      <c r="D28" s="141">
        <v>6945</v>
      </c>
      <c r="E28" s="137"/>
      <c r="F28" s="137"/>
      <c r="G28" s="137"/>
      <c r="H28" s="137"/>
      <c r="I28" s="137"/>
      <c r="J28" s="137"/>
      <c r="K28" s="137"/>
      <c r="L28" s="137"/>
      <c r="M28" s="137"/>
      <c r="N28" s="137">
        <v>83340</v>
      </c>
      <c r="O28" s="140"/>
      <c r="P28" s="140"/>
      <c r="Q28" s="140"/>
      <c r="R28" s="204"/>
      <c r="S28" s="204"/>
      <c r="T28" s="204"/>
      <c r="U28" s="207"/>
      <c r="V28" s="367"/>
      <c r="W28" s="367"/>
      <c r="X28" s="367"/>
      <c r="Y28" s="367"/>
      <c r="Z28" s="367"/>
      <c r="AA28" s="133"/>
      <c r="AB28" s="133"/>
      <c r="AC28" s="133"/>
      <c r="AD28" s="133"/>
    </row>
    <row r="29" spans="1:30" ht="45.75">
      <c r="A29" s="371" t="s">
        <v>578</v>
      </c>
      <c r="B29" s="368" t="s">
        <v>568</v>
      </c>
      <c r="C29" s="370">
        <v>1</v>
      </c>
      <c r="D29" s="141">
        <v>7000</v>
      </c>
      <c r="E29" s="137"/>
      <c r="F29" s="137"/>
      <c r="G29" s="137"/>
      <c r="H29" s="137"/>
      <c r="I29" s="137"/>
      <c r="J29" s="137"/>
      <c r="K29" s="137"/>
      <c r="L29" s="137"/>
      <c r="M29" s="137"/>
      <c r="N29" s="137">
        <v>84000</v>
      </c>
      <c r="O29" s="140"/>
      <c r="P29" s="140"/>
      <c r="Q29" s="140"/>
      <c r="R29" s="204"/>
      <c r="S29" s="204"/>
      <c r="T29" s="204"/>
      <c r="U29" s="207"/>
      <c r="V29" s="367"/>
      <c r="W29" s="367"/>
      <c r="X29" s="367"/>
      <c r="Y29" s="367"/>
      <c r="Z29" s="367"/>
      <c r="AA29" s="133"/>
      <c r="AB29" s="133"/>
      <c r="AC29" s="133"/>
      <c r="AD29" s="133"/>
    </row>
    <row r="30" spans="1:30" ht="34.5">
      <c r="A30" s="371" t="s">
        <v>571</v>
      </c>
      <c r="B30" s="368" t="s">
        <v>568</v>
      </c>
      <c r="C30" s="370">
        <v>1</v>
      </c>
      <c r="D30" s="141">
        <v>6325</v>
      </c>
      <c r="E30" s="137"/>
      <c r="F30" s="137"/>
      <c r="G30" s="137"/>
      <c r="H30" s="137"/>
      <c r="I30" s="137"/>
      <c r="J30" s="137"/>
      <c r="K30" s="137"/>
      <c r="L30" s="137"/>
      <c r="M30" s="137"/>
      <c r="N30" s="137">
        <v>75900</v>
      </c>
      <c r="O30" s="140"/>
      <c r="P30" s="140"/>
      <c r="Q30" s="140"/>
      <c r="R30" s="204"/>
      <c r="S30" s="204"/>
      <c r="T30" s="204"/>
      <c r="U30" s="207"/>
      <c r="V30" s="367"/>
      <c r="W30" s="367"/>
      <c r="X30" s="367"/>
      <c r="Y30" s="367"/>
      <c r="Z30" s="367"/>
      <c r="AA30" s="133"/>
      <c r="AB30" s="133"/>
      <c r="AC30" s="133"/>
      <c r="AD30" s="133"/>
    </row>
    <row r="31" spans="1:30" ht="23.25">
      <c r="A31" s="371" t="s">
        <v>579</v>
      </c>
      <c r="B31" s="368" t="s">
        <v>568</v>
      </c>
      <c r="C31" s="370">
        <v>2</v>
      </c>
      <c r="D31" s="141">
        <v>6325</v>
      </c>
      <c r="E31" s="137"/>
      <c r="F31" s="137"/>
      <c r="G31" s="137"/>
      <c r="H31" s="137"/>
      <c r="I31" s="137"/>
      <c r="J31" s="137"/>
      <c r="K31" s="137"/>
      <c r="L31" s="137"/>
      <c r="M31" s="137"/>
      <c r="N31" s="137">
        <v>151800</v>
      </c>
      <c r="O31" s="140"/>
      <c r="P31" s="140"/>
      <c r="Q31" s="140"/>
      <c r="R31" s="204"/>
      <c r="S31" s="204"/>
      <c r="T31" s="204"/>
      <c r="U31" s="207"/>
      <c r="V31" s="367"/>
      <c r="W31" s="367"/>
      <c r="X31" s="367"/>
      <c r="Y31" s="367"/>
      <c r="Z31" s="367"/>
      <c r="AA31" s="133"/>
      <c r="AB31" s="133"/>
      <c r="AC31" s="133"/>
      <c r="AD31" s="133"/>
    </row>
    <row r="32" spans="1:30" ht="34.5">
      <c r="A32" s="371" t="s">
        <v>572</v>
      </c>
      <c r="B32" s="368" t="s">
        <v>568</v>
      </c>
      <c r="C32" s="370">
        <v>1</v>
      </c>
      <c r="D32" s="141">
        <v>3795</v>
      </c>
      <c r="E32" s="137"/>
      <c r="F32" s="137"/>
      <c r="G32" s="137"/>
      <c r="H32" s="137"/>
      <c r="I32" s="137"/>
      <c r="J32" s="137"/>
      <c r="K32" s="137"/>
      <c r="L32" s="137"/>
      <c r="M32" s="137"/>
      <c r="N32" s="137">
        <v>45540</v>
      </c>
      <c r="O32" s="140"/>
      <c r="P32" s="140"/>
      <c r="Q32" s="140"/>
      <c r="R32" s="204"/>
      <c r="S32" s="204"/>
      <c r="T32" s="204"/>
      <c r="U32" s="207"/>
      <c r="V32" s="367"/>
      <c r="W32" s="367"/>
      <c r="X32" s="367"/>
      <c r="Y32" s="367"/>
      <c r="Z32" s="367"/>
      <c r="AA32" s="133"/>
      <c r="AB32" s="133"/>
      <c r="AC32" s="133"/>
      <c r="AD32" s="133"/>
    </row>
    <row r="33" spans="1:30" ht="23.25">
      <c r="A33" s="371" t="s">
        <v>579</v>
      </c>
      <c r="B33" s="368" t="s">
        <v>568</v>
      </c>
      <c r="C33" s="370">
        <v>1</v>
      </c>
      <c r="D33" s="141">
        <v>6000</v>
      </c>
      <c r="E33" s="137"/>
      <c r="F33" s="137"/>
      <c r="G33" s="137"/>
      <c r="H33" s="137"/>
      <c r="I33" s="137"/>
      <c r="J33" s="137"/>
      <c r="K33" s="137"/>
      <c r="L33" s="137"/>
      <c r="M33" s="137"/>
      <c r="N33" s="137">
        <v>72000</v>
      </c>
      <c r="O33" s="140"/>
      <c r="P33" s="140"/>
      <c r="Q33" s="140"/>
      <c r="R33" s="204"/>
      <c r="S33" s="204"/>
      <c r="T33" s="204"/>
      <c r="U33" s="207"/>
      <c r="V33" s="367"/>
      <c r="W33" s="367"/>
      <c r="X33" s="367"/>
      <c r="Y33" s="367"/>
      <c r="Z33" s="367"/>
      <c r="AA33" s="133"/>
      <c r="AB33" s="133"/>
      <c r="AC33" s="133"/>
      <c r="AD33" s="133"/>
    </row>
    <row r="34" spans="1:30" ht="23.25">
      <c r="A34" s="371" t="s">
        <v>580</v>
      </c>
      <c r="B34" s="368" t="s">
        <v>568</v>
      </c>
      <c r="C34" s="370">
        <v>1</v>
      </c>
      <c r="D34" s="141">
        <v>8000</v>
      </c>
      <c r="E34" s="137"/>
      <c r="F34" s="137"/>
      <c r="G34" s="137"/>
      <c r="H34" s="137"/>
      <c r="I34" s="137"/>
      <c r="J34" s="137"/>
      <c r="K34" s="137"/>
      <c r="L34" s="137"/>
      <c r="M34" s="137"/>
      <c r="N34" s="137">
        <v>96000</v>
      </c>
      <c r="O34" s="140"/>
      <c r="P34" s="140"/>
      <c r="Q34" s="140"/>
      <c r="R34" s="204"/>
      <c r="S34" s="204"/>
      <c r="T34" s="204"/>
      <c r="U34" s="207"/>
      <c r="V34" s="367"/>
      <c r="W34" s="367"/>
      <c r="X34" s="367"/>
      <c r="Y34" s="367"/>
      <c r="Z34" s="367"/>
      <c r="AA34" s="133"/>
      <c r="AB34" s="133"/>
      <c r="AC34" s="133"/>
      <c r="AD34" s="133"/>
    </row>
    <row r="35" spans="1:30" ht="34.5">
      <c r="A35" s="371" t="s">
        <v>581</v>
      </c>
      <c r="B35" s="368" t="s">
        <v>568</v>
      </c>
      <c r="C35" s="370">
        <v>1</v>
      </c>
      <c r="D35" s="141">
        <v>9775</v>
      </c>
      <c r="E35" s="137"/>
      <c r="F35" s="137"/>
      <c r="G35" s="137"/>
      <c r="H35" s="137"/>
      <c r="I35" s="137"/>
      <c r="J35" s="137"/>
      <c r="K35" s="137"/>
      <c r="L35" s="137"/>
      <c r="M35" s="137"/>
      <c r="N35" s="137">
        <v>117300</v>
      </c>
      <c r="O35" s="140"/>
      <c r="P35" s="140"/>
      <c r="Q35" s="140"/>
      <c r="R35" s="204"/>
      <c r="S35" s="204"/>
      <c r="T35" s="204"/>
      <c r="U35" s="207"/>
      <c r="V35" s="367"/>
      <c r="W35" s="367"/>
      <c r="X35" s="367"/>
      <c r="Y35" s="367"/>
      <c r="Z35" s="367"/>
      <c r="AA35" s="133"/>
      <c r="AB35" s="133"/>
      <c r="AC35" s="133"/>
      <c r="AD35" s="133"/>
    </row>
    <row r="36" spans="1:30" ht="23.25">
      <c r="A36" s="371" t="s">
        <v>919</v>
      </c>
      <c r="B36" s="368" t="s">
        <v>568</v>
      </c>
      <c r="C36" s="370">
        <v>1</v>
      </c>
      <c r="D36" s="141">
        <v>13500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>
        <v>162000</v>
      </c>
      <c r="O36" s="140"/>
      <c r="P36" s="140"/>
      <c r="Q36" s="140"/>
      <c r="R36" s="204"/>
      <c r="S36" s="204"/>
      <c r="T36" s="204"/>
      <c r="U36" s="207"/>
      <c r="V36" s="367"/>
      <c r="W36" s="367"/>
      <c r="X36" s="367"/>
      <c r="Y36" s="367"/>
      <c r="Z36" s="367"/>
      <c r="AA36" s="133"/>
      <c r="AB36" s="133"/>
      <c r="AC36" s="133"/>
      <c r="AD36" s="133"/>
    </row>
    <row r="37" spans="1:30" ht="23.25">
      <c r="A37" s="371" t="s">
        <v>582</v>
      </c>
      <c r="B37" s="368" t="s">
        <v>568</v>
      </c>
      <c r="C37" s="370">
        <v>1</v>
      </c>
      <c r="D37" s="141">
        <v>6700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>
        <v>80400</v>
      </c>
      <c r="O37" s="140"/>
      <c r="P37" s="140"/>
      <c r="Q37" s="140"/>
      <c r="R37" s="204"/>
      <c r="S37" s="204"/>
      <c r="T37" s="204"/>
      <c r="U37" s="207"/>
      <c r="V37" s="367"/>
      <c r="W37" s="367"/>
      <c r="X37" s="367"/>
      <c r="Y37" s="367"/>
      <c r="Z37" s="367"/>
      <c r="AA37" s="133"/>
      <c r="AB37" s="133"/>
      <c r="AC37" s="133"/>
      <c r="AD37" s="133"/>
    </row>
    <row r="38" spans="1:30" ht="23.25">
      <c r="A38" s="371" t="s">
        <v>583</v>
      </c>
      <c r="B38" s="368" t="s">
        <v>568</v>
      </c>
      <c r="C38" s="370">
        <v>1</v>
      </c>
      <c r="D38" s="141">
        <v>8000</v>
      </c>
      <c r="E38" s="137"/>
      <c r="F38" s="137"/>
      <c r="G38" s="137"/>
      <c r="H38" s="137"/>
      <c r="I38" s="137"/>
      <c r="J38" s="137"/>
      <c r="K38" s="137"/>
      <c r="L38" s="137"/>
      <c r="M38" s="137"/>
      <c r="N38" s="137">
        <v>96000</v>
      </c>
      <c r="O38" s="140"/>
      <c r="P38" s="140"/>
      <c r="Q38" s="140"/>
      <c r="R38" s="204"/>
      <c r="S38" s="204"/>
      <c r="T38" s="204"/>
      <c r="U38" s="207"/>
      <c r="V38" s="367"/>
      <c r="W38" s="367"/>
      <c r="X38" s="367"/>
      <c r="Y38" s="367"/>
      <c r="Z38" s="367"/>
      <c r="AA38" s="133"/>
      <c r="AB38" s="133"/>
      <c r="AC38" s="133"/>
      <c r="AD38" s="133"/>
    </row>
    <row r="39" spans="1:30" ht="23.25">
      <c r="A39" s="371" t="s">
        <v>584</v>
      </c>
      <c r="B39" s="368" t="s">
        <v>568</v>
      </c>
      <c r="C39" s="370">
        <v>1</v>
      </c>
      <c r="D39" s="141">
        <v>5600</v>
      </c>
      <c r="E39" s="137"/>
      <c r="F39" s="137"/>
      <c r="G39" s="137"/>
      <c r="H39" s="137"/>
      <c r="I39" s="137"/>
      <c r="J39" s="137"/>
      <c r="K39" s="137"/>
      <c r="L39" s="137"/>
      <c r="M39" s="137"/>
      <c r="N39" s="137">
        <v>67200</v>
      </c>
      <c r="O39" s="140"/>
      <c r="P39" s="140"/>
      <c r="Q39" s="140"/>
      <c r="R39" s="204"/>
      <c r="S39" s="204"/>
      <c r="T39" s="204"/>
      <c r="U39" s="207"/>
      <c r="V39" s="367"/>
      <c r="W39" s="367"/>
      <c r="X39" s="367"/>
      <c r="Y39" s="367"/>
      <c r="Z39" s="367"/>
      <c r="AA39" s="133"/>
      <c r="AB39" s="133"/>
      <c r="AC39" s="133"/>
      <c r="AD39" s="133"/>
    </row>
    <row r="40" spans="1:30" ht="23.25">
      <c r="A40" s="371" t="s">
        <v>585</v>
      </c>
      <c r="B40" s="368" t="s">
        <v>568</v>
      </c>
      <c r="C40" s="370">
        <v>1</v>
      </c>
      <c r="D40" s="141">
        <v>5000</v>
      </c>
      <c r="E40" s="137"/>
      <c r="F40" s="137"/>
      <c r="G40" s="137"/>
      <c r="H40" s="137"/>
      <c r="I40" s="137"/>
      <c r="J40" s="137"/>
      <c r="K40" s="137"/>
      <c r="L40" s="137"/>
      <c r="M40" s="137"/>
      <c r="N40" s="137">
        <v>60000</v>
      </c>
      <c r="O40" s="140"/>
      <c r="P40" s="140"/>
      <c r="Q40" s="140"/>
      <c r="R40" s="204"/>
      <c r="S40" s="204"/>
      <c r="T40" s="204"/>
      <c r="U40" s="207"/>
      <c r="V40" s="367"/>
      <c r="W40" s="367"/>
      <c r="X40" s="367"/>
      <c r="Y40" s="367"/>
      <c r="Z40" s="367"/>
      <c r="AA40" s="133"/>
      <c r="AB40" s="133"/>
      <c r="AC40" s="133"/>
      <c r="AD40" s="133"/>
    </row>
    <row r="41" spans="1:30" ht="23.25">
      <c r="A41" s="371" t="s">
        <v>586</v>
      </c>
      <c r="B41" s="368" t="s">
        <v>568</v>
      </c>
      <c r="C41" s="370">
        <v>1</v>
      </c>
      <c r="D41" s="141">
        <v>5000</v>
      </c>
      <c r="E41" s="137"/>
      <c r="F41" s="137"/>
      <c r="G41" s="137"/>
      <c r="H41" s="137"/>
      <c r="I41" s="137"/>
      <c r="J41" s="137"/>
      <c r="K41" s="137"/>
      <c r="L41" s="137"/>
      <c r="M41" s="137"/>
      <c r="N41" s="137">
        <v>60000</v>
      </c>
      <c r="O41" s="140"/>
      <c r="P41" s="140"/>
      <c r="Q41" s="140"/>
      <c r="R41" s="204"/>
      <c r="S41" s="204"/>
      <c r="T41" s="204"/>
      <c r="U41" s="207"/>
      <c r="V41" s="367"/>
      <c r="W41" s="367"/>
      <c r="X41" s="367"/>
      <c r="Y41" s="367"/>
      <c r="Z41" s="367"/>
      <c r="AA41" s="133"/>
      <c r="AB41" s="133"/>
      <c r="AC41" s="133"/>
      <c r="AD41" s="133"/>
    </row>
    <row r="42" spans="1:30" ht="23.25">
      <c r="A42" s="371" t="s">
        <v>587</v>
      </c>
      <c r="B42" s="368" t="s">
        <v>568</v>
      </c>
      <c r="C42" s="370">
        <v>1</v>
      </c>
      <c r="D42" s="141">
        <v>5000</v>
      </c>
      <c r="E42" s="137"/>
      <c r="F42" s="137"/>
      <c r="G42" s="137"/>
      <c r="H42" s="137"/>
      <c r="I42" s="137"/>
      <c r="J42" s="137"/>
      <c r="K42" s="137"/>
      <c r="L42" s="137"/>
      <c r="M42" s="137"/>
      <c r="N42" s="137">
        <v>60000</v>
      </c>
      <c r="O42" s="140"/>
      <c r="P42" s="140"/>
      <c r="Q42" s="140"/>
      <c r="R42" s="204"/>
      <c r="S42" s="204"/>
      <c r="T42" s="204"/>
      <c r="U42" s="207"/>
      <c r="V42" s="367"/>
      <c r="W42" s="367"/>
      <c r="X42" s="367"/>
      <c r="Y42" s="367"/>
      <c r="Z42" s="367"/>
      <c r="AA42" s="133"/>
      <c r="AB42" s="133"/>
      <c r="AC42" s="133"/>
      <c r="AD42" s="133"/>
    </row>
    <row r="43" spans="1:30" ht="23.25">
      <c r="A43" s="371" t="s">
        <v>588</v>
      </c>
      <c r="B43" s="368" t="s">
        <v>568</v>
      </c>
      <c r="C43" s="370">
        <v>1</v>
      </c>
      <c r="D43" s="141">
        <v>7085</v>
      </c>
      <c r="E43" s="137"/>
      <c r="F43" s="137"/>
      <c r="G43" s="137"/>
      <c r="H43" s="137"/>
      <c r="I43" s="137"/>
      <c r="J43" s="137"/>
      <c r="K43" s="137"/>
      <c r="L43" s="137"/>
      <c r="M43" s="137"/>
      <c r="N43" s="137">
        <v>85020</v>
      </c>
      <c r="O43" s="140"/>
      <c r="P43" s="140"/>
      <c r="Q43" s="140"/>
      <c r="R43" s="204"/>
      <c r="S43" s="204"/>
      <c r="T43" s="204"/>
      <c r="U43" s="207"/>
      <c r="V43" s="367"/>
      <c r="W43" s="367"/>
      <c r="X43" s="367"/>
      <c r="Y43" s="367"/>
      <c r="Z43" s="367"/>
      <c r="AA43" s="133"/>
      <c r="AB43" s="133"/>
      <c r="AC43" s="133"/>
      <c r="AD43" s="133"/>
    </row>
    <row r="44" spans="1:30" ht="34.5">
      <c r="A44" s="371" t="s">
        <v>589</v>
      </c>
      <c r="B44" s="368" t="s">
        <v>568</v>
      </c>
      <c r="C44" s="370">
        <v>1</v>
      </c>
      <c r="D44" s="141">
        <v>11500</v>
      </c>
      <c r="E44" s="137"/>
      <c r="F44" s="137"/>
      <c r="G44" s="137"/>
      <c r="H44" s="137"/>
      <c r="I44" s="137"/>
      <c r="J44" s="137"/>
      <c r="K44" s="137"/>
      <c r="L44" s="137"/>
      <c r="M44" s="137"/>
      <c r="N44" s="137">
        <v>138000</v>
      </c>
      <c r="O44" s="140"/>
      <c r="P44" s="140"/>
      <c r="Q44" s="140"/>
      <c r="R44" s="204"/>
      <c r="S44" s="204"/>
      <c r="T44" s="204"/>
      <c r="U44" s="207"/>
      <c r="V44" s="367"/>
      <c r="W44" s="367"/>
      <c r="X44" s="367"/>
      <c r="Y44" s="367"/>
      <c r="Z44" s="367"/>
      <c r="AA44" s="133"/>
      <c r="AB44" s="133"/>
      <c r="AC44" s="133"/>
      <c r="AD44" s="133"/>
    </row>
    <row r="45" spans="1:30" ht="23.25">
      <c r="A45" s="371" t="s">
        <v>590</v>
      </c>
      <c r="B45" s="368" t="s">
        <v>568</v>
      </c>
      <c r="C45" s="370">
        <v>1</v>
      </c>
      <c r="D45" s="141">
        <v>13500</v>
      </c>
      <c r="E45" s="137"/>
      <c r="F45" s="137"/>
      <c r="G45" s="137"/>
      <c r="H45" s="137"/>
      <c r="I45" s="137"/>
      <c r="J45" s="137"/>
      <c r="K45" s="137"/>
      <c r="L45" s="137"/>
      <c r="M45" s="137"/>
      <c r="N45" s="137">
        <v>162000</v>
      </c>
      <c r="O45" s="140"/>
      <c r="P45" s="140"/>
      <c r="Q45" s="140"/>
      <c r="R45" s="204"/>
      <c r="S45" s="204"/>
      <c r="T45" s="204"/>
      <c r="U45" s="207"/>
      <c r="V45" s="367"/>
      <c r="W45" s="367"/>
      <c r="X45" s="367"/>
      <c r="Y45" s="367"/>
      <c r="Z45" s="367"/>
      <c r="AA45" s="133"/>
      <c r="AB45" s="133"/>
      <c r="AC45" s="133"/>
      <c r="AD45" s="133"/>
    </row>
    <row r="46" spans="1:30" ht="34.5">
      <c r="A46" s="371" t="s">
        <v>591</v>
      </c>
      <c r="B46" s="368" t="s">
        <v>568</v>
      </c>
      <c r="C46" s="370">
        <v>1</v>
      </c>
      <c r="D46" s="141">
        <v>13500</v>
      </c>
      <c r="E46" s="137"/>
      <c r="F46" s="137"/>
      <c r="G46" s="137"/>
      <c r="H46" s="137"/>
      <c r="I46" s="137"/>
      <c r="J46" s="137"/>
      <c r="K46" s="137"/>
      <c r="L46" s="137"/>
      <c r="M46" s="137"/>
      <c r="N46" s="137">
        <v>162000</v>
      </c>
      <c r="O46" s="140"/>
      <c r="P46" s="140"/>
      <c r="Q46" s="140"/>
      <c r="R46" s="204"/>
      <c r="S46" s="204"/>
      <c r="T46" s="204"/>
      <c r="U46" s="207"/>
      <c r="V46" s="367"/>
      <c r="W46" s="367"/>
      <c r="X46" s="367"/>
      <c r="Y46" s="367"/>
      <c r="Z46" s="367"/>
      <c r="AA46" s="133"/>
      <c r="AB46" s="133"/>
      <c r="AC46" s="133"/>
      <c r="AD46" s="133"/>
    </row>
    <row r="47" spans="1:30" ht="34.5">
      <c r="A47" s="371" t="s">
        <v>592</v>
      </c>
      <c r="B47" s="368" t="s">
        <v>568</v>
      </c>
      <c r="C47" s="370">
        <v>1</v>
      </c>
      <c r="D47" s="141">
        <v>8000</v>
      </c>
      <c r="E47" s="137"/>
      <c r="F47" s="137"/>
      <c r="G47" s="137"/>
      <c r="H47" s="137"/>
      <c r="I47" s="137"/>
      <c r="J47" s="137"/>
      <c r="K47" s="137"/>
      <c r="L47" s="137"/>
      <c r="M47" s="137"/>
      <c r="N47" s="137">
        <v>96000</v>
      </c>
      <c r="O47" s="140"/>
      <c r="P47" s="140"/>
      <c r="Q47" s="140"/>
      <c r="R47" s="204"/>
      <c r="S47" s="204"/>
      <c r="T47" s="204"/>
      <c r="U47" s="207"/>
      <c r="V47" s="367"/>
      <c r="W47" s="367"/>
      <c r="X47" s="367"/>
      <c r="Y47" s="367"/>
      <c r="Z47" s="367"/>
      <c r="AA47" s="133"/>
      <c r="AB47" s="133"/>
      <c r="AC47" s="133"/>
      <c r="AD47" s="133"/>
    </row>
    <row r="48" spans="1:30" ht="34.5">
      <c r="A48" s="371" t="s">
        <v>593</v>
      </c>
      <c r="B48" s="368" t="s">
        <v>568</v>
      </c>
      <c r="C48" s="370">
        <v>1</v>
      </c>
      <c r="D48" s="141">
        <v>7925</v>
      </c>
      <c r="E48" s="137"/>
      <c r="F48" s="137"/>
      <c r="G48" s="137"/>
      <c r="H48" s="137"/>
      <c r="I48" s="137"/>
      <c r="J48" s="137"/>
      <c r="K48" s="137"/>
      <c r="L48" s="137"/>
      <c r="M48" s="137"/>
      <c r="N48" s="137">
        <v>95100</v>
      </c>
      <c r="O48" s="140"/>
      <c r="P48" s="140"/>
      <c r="Q48" s="140"/>
      <c r="R48" s="204"/>
      <c r="S48" s="204"/>
      <c r="T48" s="204"/>
      <c r="U48" s="207"/>
      <c r="V48" s="367"/>
      <c r="W48" s="367"/>
      <c r="X48" s="367"/>
      <c r="Y48" s="367"/>
      <c r="Z48" s="367"/>
      <c r="AA48" s="133"/>
      <c r="AB48" s="133"/>
      <c r="AC48" s="133"/>
      <c r="AD48" s="133"/>
    </row>
    <row r="49" spans="1:30" ht="23.25">
      <c r="A49" s="371" t="s">
        <v>920</v>
      </c>
      <c r="B49" s="368" t="s">
        <v>568</v>
      </c>
      <c r="C49" s="370">
        <v>1</v>
      </c>
      <c r="D49" s="141">
        <v>13500</v>
      </c>
      <c r="E49" s="137"/>
      <c r="F49" s="137"/>
      <c r="G49" s="137"/>
      <c r="H49" s="137"/>
      <c r="I49" s="137"/>
      <c r="J49" s="137"/>
      <c r="K49" s="137"/>
      <c r="L49" s="137"/>
      <c r="M49" s="137"/>
      <c r="N49" s="137">
        <v>162000</v>
      </c>
      <c r="O49" s="140"/>
      <c r="P49" s="140"/>
      <c r="Q49" s="140"/>
      <c r="R49" s="204"/>
      <c r="S49" s="204"/>
      <c r="T49" s="204"/>
      <c r="U49" s="207"/>
      <c r="V49" s="367"/>
      <c r="W49" s="367"/>
      <c r="X49" s="367"/>
      <c r="Y49" s="367"/>
      <c r="Z49" s="367"/>
      <c r="AA49" s="133"/>
      <c r="AB49" s="133"/>
      <c r="AC49" s="133"/>
      <c r="AD49" s="133"/>
    </row>
    <row r="50" spans="1:30" ht="23.25">
      <c r="A50" s="371" t="s">
        <v>921</v>
      </c>
      <c r="B50" s="368" t="s">
        <v>568</v>
      </c>
      <c r="C50" s="370">
        <v>1</v>
      </c>
      <c r="D50" s="141">
        <v>9500</v>
      </c>
      <c r="E50" s="137"/>
      <c r="F50" s="137"/>
      <c r="G50" s="137"/>
      <c r="H50" s="137"/>
      <c r="I50" s="137"/>
      <c r="J50" s="137"/>
      <c r="K50" s="137"/>
      <c r="L50" s="137"/>
      <c r="M50" s="137"/>
      <c r="N50" s="137">
        <v>114000</v>
      </c>
      <c r="O50" s="140"/>
      <c r="P50" s="140"/>
      <c r="Q50" s="140"/>
      <c r="R50" s="204"/>
      <c r="S50" s="204"/>
      <c r="T50" s="204"/>
      <c r="U50" s="207"/>
      <c r="V50" s="367"/>
      <c r="W50" s="367"/>
      <c r="X50" s="367"/>
      <c r="Y50" s="367"/>
      <c r="Z50" s="367"/>
      <c r="AA50" s="133"/>
      <c r="AB50" s="133"/>
      <c r="AC50" s="133"/>
      <c r="AD50" s="133"/>
    </row>
    <row r="51" spans="1:30" ht="57">
      <c r="A51" s="371" t="s">
        <v>922</v>
      </c>
      <c r="B51" s="368" t="s">
        <v>568</v>
      </c>
      <c r="C51" s="370">
        <v>1</v>
      </c>
      <c r="D51" s="141">
        <v>10500</v>
      </c>
      <c r="E51" s="137"/>
      <c r="F51" s="137"/>
      <c r="G51" s="137"/>
      <c r="H51" s="137"/>
      <c r="I51" s="137"/>
      <c r="J51" s="137"/>
      <c r="K51" s="137"/>
      <c r="L51" s="137"/>
      <c r="M51" s="137"/>
      <c r="N51" s="137">
        <v>126000</v>
      </c>
      <c r="O51" s="140"/>
      <c r="P51" s="140"/>
      <c r="Q51" s="140"/>
      <c r="R51" s="140"/>
      <c r="S51" s="140"/>
      <c r="T51" s="140"/>
      <c r="U51" s="207"/>
      <c r="V51" s="367"/>
      <c r="W51" s="367"/>
      <c r="X51" s="367"/>
      <c r="Y51" s="367"/>
      <c r="Z51" s="367"/>
      <c r="AA51" s="133"/>
      <c r="AB51" s="133"/>
      <c r="AC51" s="133"/>
      <c r="AD51" s="133"/>
    </row>
    <row r="52" spans="1:30">
      <c r="A52" s="371" t="s">
        <v>1029</v>
      </c>
      <c r="B52" s="368" t="s">
        <v>568</v>
      </c>
      <c r="C52" s="370">
        <v>1</v>
      </c>
      <c r="D52" s="141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40"/>
      <c r="P52" s="140"/>
      <c r="Q52" s="140"/>
      <c r="R52" s="140"/>
      <c r="S52" s="140"/>
      <c r="T52" s="140"/>
      <c r="U52" s="207">
        <v>15000</v>
      </c>
      <c r="V52" s="367"/>
      <c r="W52" s="367"/>
      <c r="X52" s="367"/>
      <c r="Y52" s="367"/>
      <c r="Z52" s="367"/>
      <c r="AA52" s="133"/>
      <c r="AB52" s="133"/>
      <c r="AC52" s="133"/>
      <c r="AD52" s="133"/>
    </row>
    <row r="53" spans="1:30" ht="34.5">
      <c r="A53" s="371" t="s">
        <v>594</v>
      </c>
      <c r="B53" s="368" t="s">
        <v>595</v>
      </c>
      <c r="C53" s="370">
        <v>1</v>
      </c>
      <c r="D53" s="140">
        <v>1135</v>
      </c>
      <c r="E53" s="137">
        <v>13620</v>
      </c>
      <c r="F53" s="137"/>
      <c r="G53" s="137">
        <v>900</v>
      </c>
      <c r="H53" s="137"/>
      <c r="I53" s="137">
        <v>7800</v>
      </c>
      <c r="J53" s="137"/>
      <c r="K53" s="137"/>
      <c r="L53" s="137"/>
      <c r="M53" s="137"/>
      <c r="N53" s="137"/>
      <c r="O53" s="140"/>
      <c r="P53" s="138"/>
      <c r="Q53" s="139"/>
      <c r="R53" s="139">
        <v>1610</v>
      </c>
      <c r="S53" s="139">
        <v>1610</v>
      </c>
      <c r="T53" s="139">
        <v>200</v>
      </c>
      <c r="U53" s="206"/>
      <c r="V53" s="372"/>
      <c r="W53" s="367"/>
      <c r="X53" s="367"/>
      <c r="Y53" s="367"/>
      <c r="Z53" s="367"/>
      <c r="AA53" s="367"/>
      <c r="AB53" s="367"/>
      <c r="AC53" s="367"/>
      <c r="AD53" s="367"/>
    </row>
    <row r="54" spans="1:30" ht="45.75">
      <c r="A54" s="371" t="s">
        <v>596</v>
      </c>
      <c r="B54" s="368" t="s">
        <v>595</v>
      </c>
      <c r="C54" s="370">
        <v>10</v>
      </c>
      <c r="D54" s="140">
        <v>5750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>
        <v>690000</v>
      </c>
      <c r="O54" s="140"/>
      <c r="P54" s="138"/>
      <c r="Q54" s="139"/>
      <c r="R54" s="203"/>
      <c r="S54" s="203"/>
      <c r="T54" s="203"/>
      <c r="U54" s="206"/>
      <c r="V54" s="372"/>
      <c r="W54" s="367"/>
      <c r="X54" s="367"/>
      <c r="Y54" s="367"/>
      <c r="Z54" s="367"/>
      <c r="AA54" s="367"/>
      <c r="AB54" s="367"/>
      <c r="AC54" s="367"/>
      <c r="AD54" s="367"/>
    </row>
    <row r="55" spans="1:30" ht="34.5">
      <c r="A55" s="371" t="s">
        <v>597</v>
      </c>
      <c r="B55" s="368" t="s">
        <v>595</v>
      </c>
      <c r="C55" s="370">
        <v>1</v>
      </c>
      <c r="D55" s="140">
        <v>5750</v>
      </c>
      <c r="E55" s="137"/>
      <c r="F55" s="137"/>
      <c r="G55" s="137"/>
      <c r="H55" s="137"/>
      <c r="I55" s="137"/>
      <c r="J55" s="137"/>
      <c r="K55" s="137"/>
      <c r="L55" s="137"/>
      <c r="M55" s="137"/>
      <c r="N55" s="137">
        <v>69000</v>
      </c>
      <c r="O55" s="140"/>
      <c r="P55" s="138"/>
      <c r="Q55" s="139"/>
      <c r="R55" s="203"/>
      <c r="S55" s="203"/>
      <c r="T55" s="203"/>
      <c r="U55" s="206"/>
      <c r="V55" s="372"/>
      <c r="W55" s="367"/>
      <c r="X55" s="367"/>
      <c r="Y55" s="367"/>
      <c r="Z55" s="367"/>
      <c r="AA55" s="367"/>
      <c r="AB55" s="367"/>
      <c r="AC55" s="367"/>
      <c r="AD55" s="367"/>
    </row>
    <row r="56" spans="1:30" ht="45.75">
      <c r="A56" s="371" t="s">
        <v>598</v>
      </c>
      <c r="B56" s="368" t="s">
        <v>595</v>
      </c>
      <c r="C56" s="370">
        <v>1</v>
      </c>
      <c r="D56" s="140">
        <v>4025</v>
      </c>
      <c r="E56" s="137"/>
      <c r="F56" s="137"/>
      <c r="G56" s="137"/>
      <c r="H56" s="137"/>
      <c r="I56" s="137"/>
      <c r="J56" s="137"/>
      <c r="K56" s="137"/>
      <c r="L56" s="137"/>
      <c r="M56" s="137"/>
      <c r="N56" s="137">
        <v>48300</v>
      </c>
      <c r="O56" s="140"/>
      <c r="P56" s="138"/>
      <c r="Q56" s="139"/>
      <c r="R56" s="203"/>
      <c r="S56" s="203"/>
      <c r="T56" s="203"/>
      <c r="U56" s="206"/>
      <c r="V56" s="372"/>
      <c r="W56" s="367"/>
      <c r="X56" s="367"/>
      <c r="Y56" s="367"/>
      <c r="Z56" s="367"/>
      <c r="AA56" s="367"/>
      <c r="AB56" s="367"/>
      <c r="AC56" s="367"/>
      <c r="AD56" s="367"/>
    </row>
    <row r="57" spans="1:30" ht="45.75">
      <c r="A57" s="371" t="s">
        <v>599</v>
      </c>
      <c r="B57" s="368" t="s">
        <v>595</v>
      </c>
      <c r="C57" s="370">
        <v>1</v>
      </c>
      <c r="D57" s="140">
        <v>11500</v>
      </c>
      <c r="E57" s="137"/>
      <c r="F57" s="137"/>
      <c r="G57" s="137"/>
      <c r="H57" s="137"/>
      <c r="I57" s="137"/>
      <c r="J57" s="137"/>
      <c r="K57" s="137"/>
      <c r="L57" s="137"/>
      <c r="M57" s="137"/>
      <c r="N57" s="137">
        <v>138000</v>
      </c>
      <c r="O57" s="140"/>
      <c r="P57" s="138"/>
      <c r="Q57" s="139"/>
      <c r="R57" s="203"/>
      <c r="S57" s="203"/>
      <c r="T57" s="203"/>
      <c r="U57" s="206"/>
      <c r="V57" s="372"/>
      <c r="W57" s="367"/>
      <c r="X57" s="367"/>
      <c r="Y57" s="367"/>
      <c r="Z57" s="367"/>
      <c r="AA57" s="367"/>
      <c r="AB57" s="367"/>
      <c r="AC57" s="367"/>
      <c r="AD57" s="367"/>
    </row>
    <row r="58" spans="1:30" ht="23.25">
      <c r="A58" s="371" t="s">
        <v>600</v>
      </c>
      <c r="B58" s="368" t="s">
        <v>595</v>
      </c>
      <c r="C58" s="370">
        <v>1</v>
      </c>
      <c r="D58" s="140">
        <v>4773</v>
      </c>
      <c r="E58" s="137"/>
      <c r="F58" s="137"/>
      <c r="G58" s="137"/>
      <c r="H58" s="137"/>
      <c r="I58" s="137"/>
      <c r="J58" s="137"/>
      <c r="K58" s="137"/>
      <c r="L58" s="137"/>
      <c r="M58" s="137"/>
      <c r="N58" s="137">
        <v>57276</v>
      </c>
      <c r="O58" s="140"/>
      <c r="P58" s="138"/>
      <c r="Q58" s="139"/>
      <c r="R58" s="203"/>
      <c r="S58" s="203"/>
      <c r="T58" s="203"/>
      <c r="U58" s="206"/>
      <c r="V58" s="372"/>
      <c r="W58" s="367"/>
      <c r="X58" s="367"/>
      <c r="Y58" s="367"/>
      <c r="Z58" s="367"/>
      <c r="AA58" s="367"/>
      <c r="AB58" s="367"/>
      <c r="AC58" s="367"/>
      <c r="AD58" s="367"/>
    </row>
    <row r="59" spans="1:30" ht="23.25">
      <c r="A59" s="371" t="s">
        <v>601</v>
      </c>
      <c r="B59" s="368" t="s">
        <v>595</v>
      </c>
      <c r="C59" s="370">
        <v>1</v>
      </c>
      <c r="D59" s="140">
        <v>3795</v>
      </c>
      <c r="E59" s="137"/>
      <c r="F59" s="137"/>
      <c r="G59" s="137"/>
      <c r="H59" s="137"/>
      <c r="I59" s="137"/>
      <c r="J59" s="137"/>
      <c r="K59" s="137"/>
      <c r="L59" s="137"/>
      <c r="M59" s="137"/>
      <c r="N59" s="137">
        <v>45540</v>
      </c>
      <c r="O59" s="140"/>
      <c r="P59" s="138"/>
      <c r="Q59" s="139"/>
      <c r="R59" s="203"/>
      <c r="S59" s="203"/>
      <c r="T59" s="203"/>
      <c r="U59" s="206"/>
      <c r="V59" s="372"/>
      <c r="W59" s="367"/>
      <c r="X59" s="367"/>
      <c r="Y59" s="367"/>
      <c r="Z59" s="367"/>
      <c r="AA59" s="367"/>
      <c r="AB59" s="367"/>
      <c r="AC59" s="367"/>
      <c r="AD59" s="367"/>
    </row>
    <row r="60" spans="1:30" ht="23.25">
      <c r="A60" s="371" t="s">
        <v>602</v>
      </c>
      <c r="B60" s="368" t="s">
        <v>595</v>
      </c>
      <c r="C60" s="370">
        <v>1</v>
      </c>
      <c r="D60" s="140">
        <v>3795</v>
      </c>
      <c r="E60" s="137"/>
      <c r="F60" s="137"/>
      <c r="G60" s="137"/>
      <c r="H60" s="137"/>
      <c r="I60" s="137"/>
      <c r="J60" s="137"/>
      <c r="K60" s="137"/>
      <c r="L60" s="137"/>
      <c r="M60" s="137"/>
      <c r="N60" s="137">
        <v>45540</v>
      </c>
      <c r="O60" s="140"/>
      <c r="P60" s="138"/>
      <c r="Q60" s="139"/>
      <c r="R60" s="203"/>
      <c r="S60" s="203"/>
      <c r="T60" s="203"/>
      <c r="U60" s="206"/>
      <c r="V60" s="372"/>
      <c r="W60" s="367"/>
      <c r="X60" s="367"/>
      <c r="Y60" s="367"/>
      <c r="Z60" s="367"/>
      <c r="AA60" s="367"/>
      <c r="AB60" s="367"/>
      <c r="AC60" s="367"/>
      <c r="AD60" s="367"/>
    </row>
    <row r="61" spans="1:30" ht="23.25">
      <c r="A61" s="371" t="s">
        <v>603</v>
      </c>
      <c r="B61" s="368" t="s">
        <v>595</v>
      </c>
      <c r="C61" s="370">
        <v>1</v>
      </c>
      <c r="D61" s="140">
        <v>7475</v>
      </c>
      <c r="E61" s="137"/>
      <c r="F61" s="137"/>
      <c r="G61" s="137"/>
      <c r="H61" s="137"/>
      <c r="I61" s="137"/>
      <c r="J61" s="137"/>
      <c r="K61" s="137"/>
      <c r="L61" s="137"/>
      <c r="M61" s="137"/>
      <c r="N61" s="137">
        <v>89700</v>
      </c>
      <c r="O61" s="140"/>
      <c r="P61" s="138"/>
      <c r="Q61" s="139"/>
      <c r="R61" s="203"/>
      <c r="S61" s="203"/>
      <c r="T61" s="203"/>
      <c r="U61" s="206"/>
      <c r="V61" s="372"/>
    </row>
    <row r="62" spans="1:30" ht="34.5">
      <c r="A62" s="371" t="s">
        <v>604</v>
      </c>
      <c r="B62" s="368" t="s">
        <v>595</v>
      </c>
      <c r="C62" s="370">
        <v>6</v>
      </c>
      <c r="D62" s="140">
        <v>6325</v>
      </c>
      <c r="E62" s="137"/>
      <c r="F62" s="137"/>
      <c r="G62" s="137"/>
      <c r="H62" s="137"/>
      <c r="I62" s="137"/>
      <c r="J62" s="137"/>
      <c r="K62" s="137"/>
      <c r="L62" s="137"/>
      <c r="M62" s="137"/>
      <c r="N62" s="137">
        <v>455400</v>
      </c>
      <c r="O62" s="140"/>
      <c r="P62" s="138"/>
      <c r="Q62" s="139"/>
      <c r="R62" s="203"/>
      <c r="S62" s="203"/>
      <c r="T62" s="203"/>
      <c r="U62" s="206"/>
      <c r="V62" s="372"/>
    </row>
    <row r="63" spans="1:30" ht="23.25">
      <c r="A63" s="371" t="s">
        <v>605</v>
      </c>
      <c r="B63" s="368" t="s">
        <v>595</v>
      </c>
      <c r="C63" s="370">
        <v>1</v>
      </c>
      <c r="D63" s="140">
        <v>5463</v>
      </c>
      <c r="E63" s="137"/>
      <c r="F63" s="137"/>
      <c r="G63" s="137"/>
      <c r="H63" s="137"/>
      <c r="I63" s="137"/>
      <c r="J63" s="137"/>
      <c r="K63" s="137"/>
      <c r="L63" s="137"/>
      <c r="M63" s="137"/>
      <c r="N63" s="137">
        <v>65556</v>
      </c>
      <c r="O63" s="140"/>
      <c r="P63" s="138"/>
      <c r="Q63" s="139"/>
      <c r="R63" s="203"/>
      <c r="S63" s="203"/>
      <c r="T63" s="203"/>
      <c r="U63" s="206"/>
      <c r="V63" s="372"/>
    </row>
    <row r="64" spans="1:30" ht="23.25">
      <c r="A64" s="371" t="s">
        <v>606</v>
      </c>
      <c r="B64" s="368" t="s">
        <v>595</v>
      </c>
      <c r="C64" s="370">
        <v>1</v>
      </c>
      <c r="D64" s="140">
        <v>10000</v>
      </c>
      <c r="E64" s="137"/>
      <c r="F64" s="137"/>
      <c r="G64" s="137"/>
      <c r="H64" s="137"/>
      <c r="I64" s="137"/>
      <c r="J64" s="137"/>
      <c r="K64" s="137"/>
      <c r="L64" s="137"/>
      <c r="M64" s="137"/>
      <c r="N64" s="137">
        <v>120000</v>
      </c>
      <c r="O64" s="140"/>
      <c r="P64" s="138"/>
      <c r="Q64" s="139"/>
      <c r="R64" s="203"/>
      <c r="S64" s="203"/>
      <c r="T64" s="203"/>
      <c r="U64" s="206"/>
      <c r="V64" s="372"/>
    </row>
    <row r="65" spans="1:22" ht="34.5">
      <c r="A65" s="371" t="s">
        <v>607</v>
      </c>
      <c r="B65" s="368" t="s">
        <v>595</v>
      </c>
      <c r="C65" s="370">
        <v>1</v>
      </c>
      <c r="D65" s="140">
        <v>6325</v>
      </c>
      <c r="E65" s="137"/>
      <c r="F65" s="137"/>
      <c r="G65" s="137"/>
      <c r="H65" s="137"/>
      <c r="I65" s="137"/>
      <c r="J65" s="137"/>
      <c r="K65" s="137"/>
      <c r="L65" s="137"/>
      <c r="M65" s="137"/>
      <c r="N65" s="137">
        <v>75900</v>
      </c>
      <c r="O65" s="140"/>
      <c r="P65" s="138"/>
      <c r="Q65" s="139"/>
      <c r="R65" s="203"/>
      <c r="S65" s="203"/>
      <c r="T65" s="203"/>
      <c r="U65" s="206"/>
      <c r="V65" s="372"/>
    </row>
    <row r="66" spans="1:22" ht="23.25">
      <c r="A66" s="371" t="s">
        <v>608</v>
      </c>
      <c r="B66" s="368" t="s">
        <v>595</v>
      </c>
      <c r="C66" s="370">
        <v>1</v>
      </c>
      <c r="D66" s="140">
        <v>11500</v>
      </c>
      <c r="E66" s="137"/>
      <c r="F66" s="137"/>
      <c r="G66" s="137"/>
      <c r="H66" s="137"/>
      <c r="I66" s="137"/>
      <c r="J66" s="137"/>
      <c r="K66" s="137"/>
      <c r="L66" s="137"/>
      <c r="M66" s="137"/>
      <c r="N66" s="137">
        <v>138000</v>
      </c>
      <c r="O66" s="140"/>
      <c r="P66" s="138"/>
      <c r="Q66" s="139"/>
      <c r="R66" s="203"/>
      <c r="S66" s="203"/>
      <c r="T66" s="203"/>
      <c r="U66" s="206"/>
      <c r="V66" s="372"/>
    </row>
    <row r="67" spans="1:22" ht="45.75">
      <c r="A67" s="371" t="s">
        <v>609</v>
      </c>
      <c r="B67" s="368" t="s">
        <v>595</v>
      </c>
      <c r="C67" s="370">
        <v>1</v>
      </c>
      <c r="D67" s="140">
        <v>11500</v>
      </c>
      <c r="E67" s="137"/>
      <c r="F67" s="137"/>
      <c r="G67" s="137"/>
      <c r="H67" s="137"/>
      <c r="I67" s="137"/>
      <c r="J67" s="137"/>
      <c r="K67" s="137"/>
      <c r="L67" s="137"/>
      <c r="M67" s="137"/>
      <c r="N67" s="137">
        <v>138000</v>
      </c>
      <c r="O67" s="140"/>
      <c r="P67" s="138"/>
      <c r="Q67" s="139"/>
      <c r="R67" s="203"/>
      <c r="S67" s="203"/>
      <c r="T67" s="203"/>
      <c r="U67" s="206"/>
      <c r="V67" s="372"/>
    </row>
    <row r="68" spans="1:22" ht="45">
      <c r="A68" s="3" t="s">
        <v>610</v>
      </c>
      <c r="B68" s="368" t="s">
        <v>595</v>
      </c>
      <c r="C68" s="370">
        <v>6</v>
      </c>
      <c r="D68" s="141">
        <v>5463</v>
      </c>
      <c r="E68" s="137"/>
      <c r="F68" s="137"/>
      <c r="G68" s="137"/>
      <c r="H68" s="137"/>
      <c r="I68" s="137"/>
      <c r="J68" s="137"/>
      <c r="K68" s="137"/>
      <c r="L68" s="137"/>
      <c r="M68" s="137"/>
      <c r="N68" s="137">
        <v>393336</v>
      </c>
      <c r="O68" s="140"/>
      <c r="P68" s="138"/>
      <c r="Q68" s="139"/>
      <c r="R68" s="203"/>
      <c r="S68" s="203"/>
      <c r="T68" s="203"/>
      <c r="U68" s="206"/>
      <c r="V68" s="372"/>
    </row>
    <row r="69" spans="1:22" ht="45">
      <c r="A69" s="3" t="s">
        <v>610</v>
      </c>
      <c r="B69" s="368" t="s">
        <v>595</v>
      </c>
      <c r="C69" s="369">
        <v>2</v>
      </c>
      <c r="D69" s="140">
        <v>5463</v>
      </c>
      <c r="E69" s="137"/>
      <c r="F69" s="137"/>
      <c r="G69" s="137"/>
      <c r="H69" s="137"/>
      <c r="I69" s="137"/>
      <c r="J69" s="137"/>
      <c r="K69" s="137"/>
      <c r="L69" s="137"/>
      <c r="M69" s="137"/>
      <c r="N69" s="137">
        <v>131112</v>
      </c>
      <c r="O69" s="140"/>
      <c r="P69" s="138"/>
      <c r="Q69" s="139"/>
      <c r="R69" s="203"/>
      <c r="S69" s="203"/>
      <c r="T69" s="203"/>
      <c r="U69" s="206"/>
      <c r="V69" s="372"/>
    </row>
    <row r="70" spans="1:22" ht="45">
      <c r="A70" s="3" t="s">
        <v>610</v>
      </c>
      <c r="B70" s="368" t="s">
        <v>595</v>
      </c>
      <c r="C70" s="370">
        <v>2</v>
      </c>
      <c r="D70" s="140">
        <v>5463</v>
      </c>
      <c r="E70" s="137"/>
      <c r="F70" s="137"/>
      <c r="G70" s="137"/>
      <c r="H70" s="137"/>
      <c r="I70" s="137"/>
      <c r="J70" s="137"/>
      <c r="K70" s="137"/>
      <c r="L70" s="137"/>
      <c r="M70" s="137"/>
      <c r="N70" s="137">
        <v>131112</v>
      </c>
      <c r="O70" s="140"/>
      <c r="P70" s="138"/>
      <c r="Q70" s="139"/>
      <c r="R70" s="203"/>
      <c r="S70" s="203"/>
      <c r="T70" s="203"/>
      <c r="U70" s="206"/>
      <c r="V70" s="372"/>
    </row>
    <row r="71" spans="1:22" ht="45">
      <c r="A71" s="3" t="s">
        <v>610</v>
      </c>
      <c r="B71" s="368" t="s">
        <v>595</v>
      </c>
      <c r="C71" s="370">
        <v>1</v>
      </c>
      <c r="D71" s="140">
        <v>3795</v>
      </c>
      <c r="E71" s="137"/>
      <c r="F71" s="137"/>
      <c r="G71" s="137"/>
      <c r="H71" s="137"/>
      <c r="I71" s="137"/>
      <c r="J71" s="137"/>
      <c r="K71" s="137"/>
      <c r="L71" s="137"/>
      <c r="M71" s="137"/>
      <c r="N71" s="137">
        <v>45540</v>
      </c>
      <c r="O71" s="140"/>
      <c r="P71" s="138"/>
      <c r="Q71" s="139"/>
      <c r="R71" s="203"/>
      <c r="S71" s="203"/>
      <c r="T71" s="203"/>
      <c r="U71" s="206"/>
      <c r="V71" s="372"/>
    </row>
    <row r="72" spans="1:22" ht="45">
      <c r="A72" s="3" t="s">
        <v>610</v>
      </c>
      <c r="B72" s="368" t="s">
        <v>595</v>
      </c>
      <c r="C72" s="370">
        <v>4</v>
      </c>
      <c r="D72" s="140">
        <v>5463</v>
      </c>
      <c r="E72" s="137"/>
      <c r="F72" s="137"/>
      <c r="G72" s="137"/>
      <c r="H72" s="137"/>
      <c r="I72" s="137"/>
      <c r="J72" s="137"/>
      <c r="K72" s="137"/>
      <c r="L72" s="137"/>
      <c r="M72" s="137"/>
      <c r="N72" s="137">
        <v>262224</v>
      </c>
      <c r="O72" s="140"/>
      <c r="P72" s="138"/>
      <c r="Q72" s="139"/>
      <c r="R72" s="203"/>
      <c r="S72" s="203"/>
      <c r="T72" s="203"/>
      <c r="U72" s="206"/>
      <c r="V72" s="372"/>
    </row>
    <row r="73" spans="1:22" ht="45">
      <c r="A73" s="3" t="s">
        <v>610</v>
      </c>
      <c r="B73" s="368" t="s">
        <v>595</v>
      </c>
      <c r="C73" s="370">
        <v>1</v>
      </c>
      <c r="D73" s="140">
        <v>4025</v>
      </c>
      <c r="E73" s="137"/>
      <c r="F73" s="137"/>
      <c r="G73" s="137"/>
      <c r="H73" s="137"/>
      <c r="I73" s="137"/>
      <c r="J73" s="137"/>
      <c r="K73" s="137"/>
      <c r="L73" s="137"/>
      <c r="M73" s="137"/>
      <c r="N73" s="137">
        <v>48300</v>
      </c>
      <c r="O73" s="140"/>
      <c r="P73" s="138"/>
      <c r="Q73" s="139"/>
      <c r="R73" s="203"/>
      <c r="S73" s="203"/>
      <c r="T73" s="203"/>
      <c r="U73" s="206"/>
      <c r="V73" s="372"/>
    </row>
    <row r="74" spans="1:22" ht="45">
      <c r="A74" s="3" t="s">
        <v>610</v>
      </c>
      <c r="B74" s="368" t="s">
        <v>595</v>
      </c>
      <c r="C74" s="370">
        <v>3</v>
      </c>
      <c r="D74" s="140">
        <v>4025</v>
      </c>
      <c r="E74" s="137"/>
      <c r="F74" s="137"/>
      <c r="G74" s="137"/>
      <c r="H74" s="137"/>
      <c r="I74" s="137"/>
      <c r="J74" s="137"/>
      <c r="K74" s="137"/>
      <c r="L74" s="137"/>
      <c r="M74" s="137"/>
      <c r="N74" s="137">
        <v>144900</v>
      </c>
      <c r="O74" s="140"/>
      <c r="P74" s="138"/>
      <c r="Q74" s="139"/>
      <c r="R74" s="203"/>
      <c r="S74" s="203"/>
      <c r="T74" s="203"/>
      <c r="U74" s="206"/>
      <c r="V74" s="372"/>
    </row>
    <row r="75" spans="1:22" ht="45">
      <c r="A75" s="3" t="s">
        <v>610</v>
      </c>
      <c r="B75" s="368" t="s">
        <v>595</v>
      </c>
      <c r="C75" s="370">
        <v>4</v>
      </c>
      <c r="D75" s="140">
        <v>5463</v>
      </c>
      <c r="E75" s="137"/>
      <c r="F75" s="137"/>
      <c r="G75" s="137"/>
      <c r="H75" s="137"/>
      <c r="I75" s="137"/>
      <c r="J75" s="137"/>
      <c r="K75" s="137"/>
      <c r="L75" s="137"/>
      <c r="M75" s="137"/>
      <c r="N75" s="137">
        <v>262224</v>
      </c>
      <c r="O75" s="140"/>
      <c r="P75" s="138"/>
      <c r="Q75" s="139"/>
      <c r="R75" s="203"/>
      <c r="S75" s="203"/>
      <c r="T75" s="203"/>
      <c r="U75" s="206"/>
      <c r="V75" s="372"/>
    </row>
    <row r="76" spans="1:22" ht="45">
      <c r="A76" s="3" t="s">
        <v>610</v>
      </c>
      <c r="B76" s="368" t="s">
        <v>595</v>
      </c>
      <c r="C76" s="370">
        <v>1</v>
      </c>
      <c r="D76" s="140">
        <v>4025</v>
      </c>
      <c r="E76" s="137"/>
      <c r="F76" s="137"/>
      <c r="G76" s="137"/>
      <c r="H76" s="137"/>
      <c r="I76" s="137"/>
      <c r="J76" s="137"/>
      <c r="K76" s="137"/>
      <c r="L76" s="137"/>
      <c r="M76" s="137"/>
      <c r="N76" s="137">
        <v>48300</v>
      </c>
      <c r="O76" s="140"/>
      <c r="P76" s="138"/>
      <c r="Q76" s="139"/>
      <c r="R76" s="203"/>
      <c r="S76" s="203"/>
      <c r="T76" s="203"/>
      <c r="U76" s="206"/>
      <c r="V76" s="372"/>
    </row>
    <row r="77" spans="1:22" ht="45">
      <c r="A77" s="3" t="s">
        <v>610</v>
      </c>
      <c r="B77" s="368" t="s">
        <v>595</v>
      </c>
      <c r="C77" s="370">
        <v>1</v>
      </c>
      <c r="D77" s="140">
        <v>5463</v>
      </c>
      <c r="E77" s="137"/>
      <c r="F77" s="137"/>
      <c r="G77" s="137"/>
      <c r="H77" s="137"/>
      <c r="I77" s="137"/>
      <c r="J77" s="137"/>
      <c r="K77" s="137"/>
      <c r="L77" s="137"/>
      <c r="M77" s="137"/>
      <c r="N77" s="137">
        <v>65556</v>
      </c>
      <c r="O77" s="140"/>
      <c r="P77" s="138"/>
      <c r="Q77" s="139"/>
      <c r="R77" s="203"/>
      <c r="S77" s="203"/>
      <c r="T77" s="203"/>
      <c r="U77" s="206"/>
      <c r="V77" s="372"/>
    </row>
    <row r="78" spans="1:22" ht="45">
      <c r="A78" s="3" t="s">
        <v>610</v>
      </c>
      <c r="B78" s="368" t="s">
        <v>595</v>
      </c>
      <c r="C78" s="370">
        <v>1</v>
      </c>
      <c r="D78" s="140">
        <v>5463</v>
      </c>
      <c r="E78" s="137"/>
      <c r="F78" s="137"/>
      <c r="G78" s="137"/>
      <c r="H78" s="137"/>
      <c r="I78" s="137"/>
      <c r="J78" s="137"/>
      <c r="K78" s="137"/>
      <c r="L78" s="137"/>
      <c r="M78" s="137"/>
      <c r="N78" s="137">
        <v>65556</v>
      </c>
      <c r="O78" s="140"/>
      <c r="P78" s="138"/>
      <c r="Q78" s="139"/>
      <c r="R78" s="203"/>
      <c r="S78" s="203"/>
      <c r="T78" s="203"/>
      <c r="U78" s="206"/>
      <c r="V78" s="372"/>
    </row>
    <row r="79" spans="1:22" ht="22.5">
      <c r="A79" s="3" t="s">
        <v>923</v>
      </c>
      <c r="B79" s="368" t="s">
        <v>595</v>
      </c>
      <c r="C79" s="370">
        <v>1</v>
      </c>
      <c r="D79" s="140">
        <v>72.540000000000006</v>
      </c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40">
        <v>26477.1</v>
      </c>
      <c r="P79" s="138"/>
      <c r="Q79" s="139">
        <f>3000+3810.6</f>
        <v>6810.6</v>
      </c>
      <c r="R79" s="203">
        <f>+(O79+3810.6)/12</f>
        <v>2523.9749999999999</v>
      </c>
      <c r="S79" s="203">
        <f>+R79</f>
        <v>2523.9749999999999</v>
      </c>
      <c r="T79" s="203">
        <v>200</v>
      </c>
      <c r="U79" s="206"/>
      <c r="V79" s="372"/>
    </row>
    <row r="80" spans="1:22" ht="22.5">
      <c r="A80" s="3" t="s">
        <v>637</v>
      </c>
      <c r="B80" s="368" t="s">
        <v>595</v>
      </c>
      <c r="C80" s="369">
        <v>6</v>
      </c>
      <c r="D80" s="140">
        <v>73.59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40">
        <v>161162.1</v>
      </c>
      <c r="P80" s="138">
        <v>420</v>
      </c>
      <c r="Q80" s="139">
        <f>18000+22863.6</f>
        <v>40863.599999999999</v>
      </c>
      <c r="R80" s="203">
        <f>+(O80+22863.6)/12</f>
        <v>15335.475</v>
      </c>
      <c r="S80" s="203">
        <f t="shared" ref="S80:S139" si="0">+R80</f>
        <v>15335.475</v>
      </c>
      <c r="T80" s="203">
        <v>1200</v>
      </c>
      <c r="U80" s="206"/>
      <c r="V80" s="372"/>
    </row>
    <row r="81" spans="1:22">
      <c r="A81" s="3" t="s">
        <v>638</v>
      </c>
      <c r="B81" s="368" t="s">
        <v>595</v>
      </c>
      <c r="C81" s="369">
        <v>2</v>
      </c>
      <c r="D81" s="140">
        <v>71.400000000000006</v>
      </c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40">
        <v>52122</v>
      </c>
      <c r="P81" s="138"/>
      <c r="Q81" s="139">
        <f>6000+7621.2</f>
        <v>13621.2</v>
      </c>
      <c r="R81" s="203">
        <f>+(O81+7621.2)/12</f>
        <v>4978.5999999999995</v>
      </c>
      <c r="S81" s="203">
        <f t="shared" si="0"/>
        <v>4978.5999999999995</v>
      </c>
      <c r="T81" s="203">
        <v>400</v>
      </c>
      <c r="U81" s="206"/>
      <c r="V81" s="372"/>
    </row>
    <row r="82" spans="1:22">
      <c r="A82" s="3" t="s">
        <v>639</v>
      </c>
      <c r="B82" s="368" t="s">
        <v>595</v>
      </c>
      <c r="C82" s="369">
        <v>1</v>
      </c>
      <c r="D82" s="140">
        <v>72.540000000000006</v>
      </c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40">
        <v>26477.1</v>
      </c>
      <c r="P82" s="138">
        <v>600</v>
      </c>
      <c r="Q82" s="139">
        <f>3000+3810.6</f>
        <v>6810.6</v>
      </c>
      <c r="R82" s="203">
        <f>+(O82+3810.6)/12</f>
        <v>2523.9749999999999</v>
      </c>
      <c r="S82" s="203">
        <f t="shared" si="0"/>
        <v>2523.9749999999999</v>
      </c>
      <c r="T82" s="203">
        <v>200</v>
      </c>
      <c r="U82" s="206"/>
      <c r="V82" s="372"/>
    </row>
    <row r="83" spans="1:22">
      <c r="A83" s="3" t="s">
        <v>640</v>
      </c>
      <c r="B83" s="368" t="s">
        <v>595</v>
      </c>
      <c r="C83" s="369">
        <v>1</v>
      </c>
      <c r="D83" s="140">
        <v>72.540000000000006</v>
      </c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40">
        <v>26477.1</v>
      </c>
      <c r="P83" s="138">
        <v>600</v>
      </c>
      <c r="Q83" s="139">
        <f>3000+3810.6</f>
        <v>6810.6</v>
      </c>
      <c r="R83" s="203">
        <f t="shared" ref="R83:R90" si="1">+(O83+3810.6)/12</f>
        <v>2523.9749999999999</v>
      </c>
      <c r="S83" s="203">
        <f t="shared" si="0"/>
        <v>2523.9749999999999</v>
      </c>
      <c r="T83" s="203">
        <v>200</v>
      </c>
      <c r="U83" s="206"/>
      <c r="V83" s="372"/>
    </row>
    <row r="84" spans="1:22" ht="22.5">
      <c r="A84" s="3" t="s">
        <v>923</v>
      </c>
      <c r="B84" s="368" t="s">
        <v>595</v>
      </c>
      <c r="C84" s="370">
        <v>1</v>
      </c>
      <c r="D84" s="141">
        <v>72.540000000000006</v>
      </c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40">
        <v>26477.1</v>
      </c>
      <c r="P84" s="138"/>
      <c r="Q84" s="139">
        <f>3000+3810.6</f>
        <v>6810.6</v>
      </c>
      <c r="R84" s="203">
        <f t="shared" si="1"/>
        <v>2523.9749999999999</v>
      </c>
      <c r="S84" s="203">
        <f t="shared" si="0"/>
        <v>2523.9749999999999</v>
      </c>
      <c r="T84" s="203">
        <v>200</v>
      </c>
      <c r="U84" s="206"/>
      <c r="V84" s="372"/>
    </row>
    <row r="85" spans="1:22">
      <c r="A85" s="3" t="s">
        <v>639</v>
      </c>
      <c r="B85" s="368" t="s">
        <v>595</v>
      </c>
      <c r="C85" s="370">
        <v>4</v>
      </c>
      <c r="D85" s="141">
        <v>72.540000000000006</v>
      </c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40">
        <v>105908.4</v>
      </c>
      <c r="P85" s="138"/>
      <c r="Q85" s="139">
        <f>12000+15242.4</f>
        <v>27242.400000000001</v>
      </c>
      <c r="R85" s="203">
        <f>+(O85+15242.4)/12</f>
        <v>10095.9</v>
      </c>
      <c r="S85" s="203">
        <f t="shared" si="0"/>
        <v>10095.9</v>
      </c>
      <c r="T85" s="203">
        <v>800</v>
      </c>
      <c r="U85" s="206"/>
      <c r="V85" s="372"/>
    </row>
    <row r="86" spans="1:22" ht="22.5">
      <c r="A86" s="3" t="s">
        <v>923</v>
      </c>
      <c r="B86" s="368" t="s">
        <v>595</v>
      </c>
      <c r="C86" s="370">
        <v>1</v>
      </c>
      <c r="D86" s="141">
        <v>72.540000000000006</v>
      </c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40">
        <v>26477.1</v>
      </c>
      <c r="P86" s="138"/>
      <c r="Q86" s="139">
        <f>3000+3810.6</f>
        <v>6810.6</v>
      </c>
      <c r="R86" s="203">
        <f t="shared" si="1"/>
        <v>2523.9749999999999</v>
      </c>
      <c r="S86" s="203">
        <f t="shared" si="0"/>
        <v>2523.9749999999999</v>
      </c>
      <c r="T86" s="203">
        <v>200</v>
      </c>
      <c r="U86" s="206"/>
      <c r="V86" s="372"/>
    </row>
    <row r="87" spans="1:22" ht="22.5">
      <c r="A87" s="3" t="s">
        <v>923</v>
      </c>
      <c r="B87" s="368" t="s">
        <v>595</v>
      </c>
      <c r="C87" s="370">
        <v>1</v>
      </c>
      <c r="D87" s="141">
        <v>72.540000000000006</v>
      </c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40">
        <v>26477.1</v>
      </c>
      <c r="P87" s="138"/>
      <c r="Q87" s="139">
        <f>3000+3810.6</f>
        <v>6810.6</v>
      </c>
      <c r="R87" s="203">
        <f t="shared" si="1"/>
        <v>2523.9749999999999</v>
      </c>
      <c r="S87" s="203">
        <f t="shared" si="0"/>
        <v>2523.9749999999999</v>
      </c>
      <c r="T87" s="203">
        <v>200</v>
      </c>
      <c r="U87" s="206"/>
      <c r="V87" s="372"/>
    </row>
    <row r="88" spans="1:22" ht="22.5">
      <c r="A88" s="3" t="s">
        <v>923</v>
      </c>
      <c r="B88" s="368" t="s">
        <v>595</v>
      </c>
      <c r="C88" s="370">
        <v>1</v>
      </c>
      <c r="D88" s="141">
        <v>72.540000000000006</v>
      </c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40">
        <v>26477.1</v>
      </c>
      <c r="P88" s="138"/>
      <c r="Q88" s="139">
        <f>3000+3810.6</f>
        <v>6810.6</v>
      </c>
      <c r="R88" s="203">
        <f t="shared" si="1"/>
        <v>2523.9749999999999</v>
      </c>
      <c r="S88" s="203">
        <f t="shared" si="0"/>
        <v>2523.9749999999999</v>
      </c>
      <c r="T88" s="203">
        <v>200</v>
      </c>
      <c r="U88" s="206"/>
      <c r="V88" s="372"/>
    </row>
    <row r="89" spans="1:22" ht="22.5">
      <c r="A89" s="3" t="s">
        <v>923</v>
      </c>
      <c r="B89" s="368" t="s">
        <v>595</v>
      </c>
      <c r="C89" s="370">
        <v>2</v>
      </c>
      <c r="D89" s="141">
        <v>54.41</v>
      </c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40">
        <v>39719.300000000003</v>
      </c>
      <c r="P89" s="139">
        <v>450</v>
      </c>
      <c r="Q89" s="139">
        <f>4500+5715.9</f>
        <v>10215.9</v>
      </c>
      <c r="R89" s="203">
        <f>+(O89+5715.9)/12</f>
        <v>3786.2666666666669</v>
      </c>
      <c r="S89" s="203">
        <f t="shared" si="0"/>
        <v>3786.2666666666669</v>
      </c>
      <c r="T89" s="203">
        <f>150*3</f>
        <v>450</v>
      </c>
      <c r="U89" s="206"/>
      <c r="V89" s="372"/>
    </row>
    <row r="90" spans="1:22" ht="22.5">
      <c r="A90" s="3" t="s">
        <v>923</v>
      </c>
      <c r="B90" s="368" t="s">
        <v>595</v>
      </c>
      <c r="C90" s="370">
        <v>1</v>
      </c>
      <c r="D90" s="141">
        <v>72.540000000000006</v>
      </c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40">
        <v>26477.1</v>
      </c>
      <c r="P90" s="138"/>
      <c r="Q90" s="139">
        <f>3000+3810.6</f>
        <v>6810.6</v>
      </c>
      <c r="R90" s="203">
        <f t="shared" si="1"/>
        <v>2523.9749999999999</v>
      </c>
      <c r="S90" s="203">
        <f t="shared" si="0"/>
        <v>2523.9749999999999</v>
      </c>
      <c r="T90" s="203">
        <v>200</v>
      </c>
      <c r="U90" s="206"/>
      <c r="V90" s="372"/>
    </row>
    <row r="91" spans="1:22" ht="22.5">
      <c r="A91" s="3" t="s">
        <v>923</v>
      </c>
      <c r="B91" s="368" t="s">
        <v>595</v>
      </c>
      <c r="C91" s="370">
        <v>1</v>
      </c>
      <c r="D91" s="141">
        <v>54.41</v>
      </c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40">
        <v>19859.650000000001</v>
      </c>
      <c r="P91" s="139">
        <v>450</v>
      </c>
      <c r="Q91" s="139">
        <f>2250+2857.95</f>
        <v>5107.95</v>
      </c>
      <c r="R91" s="203">
        <f>+(O91+5715.9)/12</f>
        <v>2131.2958333333336</v>
      </c>
      <c r="S91" s="203">
        <f t="shared" si="0"/>
        <v>2131.2958333333336</v>
      </c>
      <c r="T91" s="203">
        <v>150</v>
      </c>
      <c r="U91" s="206"/>
      <c r="V91" s="372"/>
    </row>
    <row r="92" spans="1:22" ht="22.5">
      <c r="A92" s="3" t="s">
        <v>923</v>
      </c>
      <c r="B92" s="368" t="s">
        <v>595</v>
      </c>
      <c r="C92" s="370">
        <v>1</v>
      </c>
      <c r="D92" s="141">
        <v>54.41</v>
      </c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40">
        <v>19859.650000000001</v>
      </c>
      <c r="P92" s="373">
        <v>315</v>
      </c>
      <c r="Q92" s="139">
        <f>2250+2857.95</f>
        <v>5107.95</v>
      </c>
      <c r="R92" s="203">
        <f>+(O92+5715.9)/12</f>
        <v>2131.2958333333336</v>
      </c>
      <c r="S92" s="203">
        <f t="shared" si="0"/>
        <v>2131.2958333333336</v>
      </c>
      <c r="T92" s="203">
        <v>150</v>
      </c>
      <c r="U92" s="206"/>
      <c r="V92" s="372"/>
    </row>
    <row r="93" spans="1:22" ht="22.5">
      <c r="A93" s="3" t="s">
        <v>923</v>
      </c>
      <c r="B93" s="368" t="s">
        <v>595</v>
      </c>
      <c r="C93" s="370">
        <v>1</v>
      </c>
      <c r="D93" s="141">
        <v>72.540000000000006</v>
      </c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40">
        <v>26477.1</v>
      </c>
      <c r="P93" s="373">
        <v>600</v>
      </c>
      <c r="Q93" s="139">
        <f>3000+3810.6</f>
        <v>6810.6</v>
      </c>
      <c r="R93" s="203">
        <f>+(O93+3810.6)/12</f>
        <v>2523.9749999999999</v>
      </c>
      <c r="S93" s="203">
        <f t="shared" si="0"/>
        <v>2523.9749999999999</v>
      </c>
      <c r="T93" s="203">
        <v>200</v>
      </c>
      <c r="U93" s="206"/>
      <c r="V93" s="372"/>
    </row>
    <row r="94" spans="1:22" ht="22.5">
      <c r="A94" s="3" t="s">
        <v>923</v>
      </c>
      <c r="B94" s="368" t="s">
        <v>595</v>
      </c>
      <c r="C94" s="370">
        <v>1</v>
      </c>
      <c r="D94" s="141">
        <v>72.540000000000006</v>
      </c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40">
        <v>26477.1</v>
      </c>
      <c r="P94" s="138"/>
      <c r="Q94" s="139">
        <f>3000+3810.6</f>
        <v>6810.6</v>
      </c>
      <c r="R94" s="203">
        <f>+(O94+3810.6)/12</f>
        <v>2523.9749999999999</v>
      </c>
      <c r="S94" s="203">
        <f t="shared" si="0"/>
        <v>2523.9749999999999</v>
      </c>
      <c r="T94" s="203">
        <v>200</v>
      </c>
      <c r="U94" s="206"/>
      <c r="V94" s="372"/>
    </row>
    <row r="95" spans="1:22" ht="22.5">
      <c r="A95" s="3" t="s">
        <v>923</v>
      </c>
      <c r="B95" s="368" t="s">
        <v>595</v>
      </c>
      <c r="C95" s="370">
        <v>1</v>
      </c>
      <c r="D95" s="141">
        <v>54.41</v>
      </c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40">
        <v>19859.650000000001</v>
      </c>
      <c r="P95" s="373">
        <v>315</v>
      </c>
      <c r="Q95" s="139">
        <f>2250+2857.95</f>
        <v>5107.95</v>
      </c>
      <c r="R95" s="203">
        <f>+(O95+5715.9)/12</f>
        <v>2131.2958333333336</v>
      </c>
      <c r="S95" s="203">
        <f t="shared" si="0"/>
        <v>2131.2958333333336</v>
      </c>
      <c r="T95" s="203">
        <v>150</v>
      </c>
      <c r="U95" s="206"/>
      <c r="V95" s="372"/>
    </row>
    <row r="96" spans="1:22" ht="22.5">
      <c r="A96" s="3" t="s">
        <v>923</v>
      </c>
      <c r="B96" s="368" t="s">
        <v>595</v>
      </c>
      <c r="C96" s="370">
        <v>2</v>
      </c>
      <c r="D96" s="141">
        <v>72.540000000000006</v>
      </c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40">
        <v>52954.2</v>
      </c>
      <c r="P96" s="138"/>
      <c r="Q96" s="139">
        <f>6000+7621.2</f>
        <v>13621.2</v>
      </c>
      <c r="R96" s="203">
        <f>+(O96+7621.2)/12</f>
        <v>5047.95</v>
      </c>
      <c r="S96" s="203">
        <f t="shared" si="0"/>
        <v>5047.95</v>
      </c>
      <c r="T96" s="203">
        <v>400</v>
      </c>
      <c r="U96" s="206"/>
      <c r="V96" s="372"/>
    </row>
    <row r="97" spans="1:22" ht="22.5">
      <c r="A97" s="3" t="s">
        <v>923</v>
      </c>
      <c r="B97" s="368" t="s">
        <v>595</v>
      </c>
      <c r="C97" s="370">
        <v>1</v>
      </c>
      <c r="D97" s="141">
        <v>72.540000000000006</v>
      </c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40">
        <v>26477.1</v>
      </c>
      <c r="P97" s="138"/>
      <c r="Q97" s="139">
        <f t="shared" ref="Q97:Q104" si="2">3000+3810.6</f>
        <v>6810.6</v>
      </c>
      <c r="R97" s="203">
        <f>+(O97+3810.6)/12</f>
        <v>2523.9749999999999</v>
      </c>
      <c r="S97" s="203">
        <f t="shared" si="0"/>
        <v>2523.9749999999999</v>
      </c>
      <c r="T97" s="203">
        <v>200</v>
      </c>
      <c r="U97" s="206"/>
      <c r="V97" s="372"/>
    </row>
    <row r="98" spans="1:22" ht="22.5">
      <c r="A98" s="3" t="s">
        <v>923</v>
      </c>
      <c r="B98" s="368" t="s">
        <v>595</v>
      </c>
      <c r="C98" s="370">
        <v>1</v>
      </c>
      <c r="D98" s="141">
        <v>18.14</v>
      </c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40">
        <v>6621.1</v>
      </c>
      <c r="P98" s="373">
        <v>105</v>
      </c>
      <c r="Q98" s="139">
        <f>750+952.65</f>
        <v>1702.65</v>
      </c>
      <c r="R98" s="203">
        <f>+(O98+952.65)/12</f>
        <v>631.14583333333337</v>
      </c>
      <c r="S98" s="203">
        <f t="shared" si="0"/>
        <v>631.14583333333337</v>
      </c>
      <c r="T98" s="203">
        <v>50</v>
      </c>
      <c r="U98" s="206"/>
      <c r="V98" s="372"/>
    </row>
    <row r="99" spans="1:22" ht="22.5">
      <c r="A99" s="3" t="s">
        <v>924</v>
      </c>
      <c r="B99" s="368" t="s">
        <v>595</v>
      </c>
      <c r="C99" s="370">
        <v>1</v>
      </c>
      <c r="D99" s="141">
        <v>72.540000000000006</v>
      </c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40">
        <v>26477.1</v>
      </c>
      <c r="P99" s="373">
        <v>600</v>
      </c>
      <c r="Q99" s="139">
        <f t="shared" si="2"/>
        <v>6810.6</v>
      </c>
      <c r="R99" s="203">
        <f>+(O99+3810.6)/12</f>
        <v>2523.9749999999999</v>
      </c>
      <c r="S99" s="203">
        <f t="shared" si="0"/>
        <v>2523.9749999999999</v>
      </c>
      <c r="T99" s="203">
        <v>200</v>
      </c>
      <c r="U99" s="206"/>
      <c r="V99" s="372"/>
    </row>
    <row r="100" spans="1:22" ht="22.5">
      <c r="A100" s="3" t="s">
        <v>923</v>
      </c>
      <c r="B100" s="368" t="s">
        <v>595</v>
      </c>
      <c r="C100" s="370">
        <v>1</v>
      </c>
      <c r="D100" s="141">
        <v>72.540000000000006</v>
      </c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40">
        <v>26477.1</v>
      </c>
      <c r="P100" s="138">
        <v>600</v>
      </c>
      <c r="Q100" s="139">
        <f t="shared" si="2"/>
        <v>6810.6</v>
      </c>
      <c r="R100" s="203">
        <f>+(O100+3810.6)/12</f>
        <v>2523.9749999999999</v>
      </c>
      <c r="S100" s="203">
        <f t="shared" si="0"/>
        <v>2523.9749999999999</v>
      </c>
      <c r="T100" s="203">
        <v>200</v>
      </c>
      <c r="U100" s="206"/>
      <c r="V100" s="372"/>
    </row>
    <row r="101" spans="1:22" ht="22.5">
      <c r="A101" s="3" t="s">
        <v>923</v>
      </c>
      <c r="B101" s="368" t="s">
        <v>595</v>
      </c>
      <c r="C101" s="370">
        <v>1</v>
      </c>
      <c r="D101" s="141">
        <v>36.270000000000003</v>
      </c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40">
        <v>13238.55</v>
      </c>
      <c r="P101" s="138">
        <v>210</v>
      </c>
      <c r="Q101" s="139">
        <f>1500+1905.3</f>
        <v>3405.3</v>
      </c>
      <c r="R101" s="203">
        <f>+(O101+1905.3)/12</f>
        <v>1261.9875</v>
      </c>
      <c r="S101" s="203">
        <f t="shared" si="0"/>
        <v>1261.9875</v>
      </c>
      <c r="T101" s="203">
        <v>100</v>
      </c>
      <c r="U101" s="206"/>
      <c r="V101" s="372"/>
    </row>
    <row r="102" spans="1:22" ht="22.5">
      <c r="A102" s="3" t="s">
        <v>923</v>
      </c>
      <c r="B102" s="368" t="s">
        <v>595</v>
      </c>
      <c r="C102" s="369">
        <v>1</v>
      </c>
      <c r="D102" s="140">
        <v>72.540000000000006</v>
      </c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40">
        <v>26477.1</v>
      </c>
      <c r="P102" s="138"/>
      <c r="Q102" s="139">
        <f t="shared" si="2"/>
        <v>6810.6</v>
      </c>
      <c r="R102" s="203">
        <f>+(O102+3810.6)/12</f>
        <v>2523.9749999999999</v>
      </c>
      <c r="S102" s="203">
        <f t="shared" si="0"/>
        <v>2523.9749999999999</v>
      </c>
      <c r="T102" s="203">
        <v>200</v>
      </c>
      <c r="U102" s="206"/>
      <c r="V102" s="372"/>
    </row>
    <row r="103" spans="1:22" ht="22.5">
      <c r="A103" s="3" t="s">
        <v>923</v>
      </c>
      <c r="B103" s="368" t="s">
        <v>595</v>
      </c>
      <c r="C103" s="369">
        <v>1</v>
      </c>
      <c r="D103" s="140">
        <v>72.540000000000006</v>
      </c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40">
        <v>26477.1</v>
      </c>
      <c r="P103" s="138"/>
      <c r="Q103" s="139">
        <f t="shared" si="2"/>
        <v>6810.6</v>
      </c>
      <c r="R103" s="203">
        <f>+(O103+3810.6)/12</f>
        <v>2523.9749999999999</v>
      </c>
      <c r="S103" s="203">
        <f t="shared" si="0"/>
        <v>2523.9749999999999</v>
      </c>
      <c r="T103" s="203">
        <v>200</v>
      </c>
      <c r="U103" s="206"/>
      <c r="V103" s="372"/>
    </row>
    <row r="104" spans="1:22" ht="22.5">
      <c r="A104" s="3" t="s">
        <v>923</v>
      </c>
      <c r="B104" s="368" t="s">
        <v>595</v>
      </c>
      <c r="C104" s="369">
        <v>1</v>
      </c>
      <c r="D104" s="140">
        <v>72.540000000000006</v>
      </c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40">
        <v>26477.1</v>
      </c>
      <c r="P104" s="138"/>
      <c r="Q104" s="139">
        <f t="shared" si="2"/>
        <v>6810.6</v>
      </c>
      <c r="R104" s="203">
        <f>+(O104+3810.6)/12</f>
        <v>2523.9749999999999</v>
      </c>
      <c r="S104" s="203">
        <f t="shared" si="0"/>
        <v>2523.9749999999999</v>
      </c>
      <c r="T104" s="203">
        <v>200</v>
      </c>
      <c r="U104" s="206"/>
      <c r="V104" s="372"/>
    </row>
    <row r="105" spans="1:22" ht="22.5">
      <c r="A105" s="3" t="s">
        <v>923</v>
      </c>
      <c r="B105" s="368" t="s">
        <v>595</v>
      </c>
      <c r="C105" s="369">
        <v>1</v>
      </c>
      <c r="D105" s="140">
        <v>54.41</v>
      </c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40">
        <v>19859.650000000001</v>
      </c>
      <c r="P105" s="138">
        <v>562.56000000000006</v>
      </c>
      <c r="Q105" s="139">
        <f>2250+2857.95</f>
        <v>5107.95</v>
      </c>
      <c r="R105" s="203">
        <f>+(O105+5715.9)/12</f>
        <v>2131.2958333333336</v>
      </c>
      <c r="S105" s="203">
        <f t="shared" si="0"/>
        <v>2131.2958333333336</v>
      </c>
      <c r="T105" s="203">
        <v>150</v>
      </c>
      <c r="U105" s="206"/>
      <c r="V105" s="372"/>
    </row>
    <row r="106" spans="1:22" ht="22.5">
      <c r="A106" s="3" t="s">
        <v>923</v>
      </c>
      <c r="B106" s="368" t="s">
        <v>595</v>
      </c>
      <c r="C106" s="370">
        <v>1</v>
      </c>
      <c r="D106" s="140">
        <v>36.270000000000003</v>
      </c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40">
        <v>13238.55</v>
      </c>
      <c r="P106" s="138"/>
      <c r="Q106" s="139">
        <f>1500+1905.3</f>
        <v>3405.3</v>
      </c>
      <c r="R106" s="203">
        <f>+(O106+1905.3)/12</f>
        <v>1261.9875</v>
      </c>
      <c r="S106" s="203">
        <f t="shared" si="0"/>
        <v>1261.9875</v>
      </c>
      <c r="T106" s="203">
        <v>100</v>
      </c>
      <c r="U106" s="206"/>
      <c r="V106" s="372"/>
    </row>
    <row r="107" spans="1:22" ht="22.5">
      <c r="A107" s="3" t="s">
        <v>923</v>
      </c>
      <c r="B107" s="368" t="s">
        <v>595</v>
      </c>
      <c r="C107" s="370">
        <v>1</v>
      </c>
      <c r="D107" s="140">
        <v>72.540000000000006</v>
      </c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40">
        <v>26477.1</v>
      </c>
      <c r="P107" s="138"/>
      <c r="Q107" s="139">
        <f t="shared" ref="Q107:Q116" si="3">3000+3810.6</f>
        <v>6810.6</v>
      </c>
      <c r="R107" s="203">
        <f>+(O107+3810.6)/12</f>
        <v>2523.9749999999999</v>
      </c>
      <c r="S107" s="203">
        <f t="shared" si="0"/>
        <v>2523.9749999999999</v>
      </c>
      <c r="T107" s="203">
        <v>200</v>
      </c>
      <c r="U107" s="206"/>
      <c r="V107" s="372"/>
    </row>
    <row r="108" spans="1:22" ht="22.5">
      <c r="A108" s="3" t="s">
        <v>925</v>
      </c>
      <c r="B108" s="368" t="s">
        <v>595</v>
      </c>
      <c r="C108" s="370">
        <v>1</v>
      </c>
      <c r="D108" s="140">
        <v>75.64</v>
      </c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40">
        <v>27608.6</v>
      </c>
      <c r="P108" s="138">
        <v>420</v>
      </c>
      <c r="Q108" s="139">
        <f t="shared" si="3"/>
        <v>6810.6</v>
      </c>
      <c r="R108" s="203">
        <f>+O108/12</f>
        <v>2300.7166666666667</v>
      </c>
      <c r="S108" s="203">
        <f t="shared" si="0"/>
        <v>2300.7166666666667</v>
      </c>
      <c r="T108" s="203">
        <v>200</v>
      </c>
      <c r="U108" s="206"/>
      <c r="V108" s="372"/>
    </row>
    <row r="109" spans="1:22" ht="22.5">
      <c r="A109" s="3" t="s">
        <v>923</v>
      </c>
      <c r="B109" s="368" t="s">
        <v>595</v>
      </c>
      <c r="C109" s="370">
        <v>1</v>
      </c>
      <c r="D109" s="140">
        <v>72.540000000000006</v>
      </c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40">
        <v>26477.1</v>
      </c>
      <c r="P109" s="138"/>
      <c r="Q109" s="139">
        <f t="shared" si="3"/>
        <v>6810.6</v>
      </c>
      <c r="R109" s="203">
        <f>+(O109+3810.6)/12</f>
        <v>2523.9749999999999</v>
      </c>
      <c r="S109" s="203">
        <f t="shared" si="0"/>
        <v>2523.9749999999999</v>
      </c>
      <c r="T109" s="203">
        <v>200</v>
      </c>
      <c r="U109" s="206"/>
      <c r="V109" s="372"/>
    </row>
    <row r="110" spans="1:22" ht="22.5">
      <c r="A110" s="3" t="s">
        <v>923</v>
      </c>
      <c r="B110" s="368" t="s">
        <v>595</v>
      </c>
      <c r="C110" s="370">
        <v>1</v>
      </c>
      <c r="D110" s="141">
        <v>36.270000000000003</v>
      </c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40">
        <v>13238.55</v>
      </c>
      <c r="P110" s="138">
        <v>420</v>
      </c>
      <c r="Q110" s="139">
        <f>1500+1905.3</f>
        <v>3405.3</v>
      </c>
      <c r="R110" s="203">
        <f>+(O110+1905.3)/12</f>
        <v>1261.9875</v>
      </c>
      <c r="S110" s="203">
        <f t="shared" si="0"/>
        <v>1261.9875</v>
      </c>
      <c r="T110" s="203">
        <v>100</v>
      </c>
      <c r="U110" s="206"/>
      <c r="V110" s="372"/>
    </row>
    <row r="111" spans="1:22" ht="22.5">
      <c r="A111" s="3" t="s">
        <v>923</v>
      </c>
      <c r="B111" s="368" t="s">
        <v>595</v>
      </c>
      <c r="C111" s="370">
        <v>1</v>
      </c>
      <c r="D111" s="141">
        <v>72.540000000000006</v>
      </c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40">
        <v>26477.1</v>
      </c>
      <c r="P111" s="138"/>
      <c r="Q111" s="139">
        <f t="shared" si="3"/>
        <v>6810.6</v>
      </c>
      <c r="R111" s="203">
        <f>+(O111+3810.6)/12</f>
        <v>2523.9749999999999</v>
      </c>
      <c r="S111" s="203">
        <f t="shared" si="0"/>
        <v>2523.9749999999999</v>
      </c>
      <c r="T111" s="203">
        <v>200</v>
      </c>
      <c r="U111" s="206"/>
      <c r="V111" s="372"/>
    </row>
    <row r="112" spans="1:22" ht="22.5">
      <c r="A112" s="3" t="s">
        <v>923</v>
      </c>
      <c r="B112" s="368" t="s">
        <v>595</v>
      </c>
      <c r="C112" s="370">
        <v>1</v>
      </c>
      <c r="D112" s="141">
        <v>72.540000000000006</v>
      </c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40">
        <v>26477.1</v>
      </c>
      <c r="P112" s="138"/>
      <c r="Q112" s="139">
        <f t="shared" si="3"/>
        <v>6810.6</v>
      </c>
      <c r="R112" s="203">
        <f>+(O112+3810.6)/12</f>
        <v>2523.9749999999999</v>
      </c>
      <c r="S112" s="203">
        <f t="shared" si="0"/>
        <v>2523.9749999999999</v>
      </c>
      <c r="T112" s="203">
        <v>200</v>
      </c>
      <c r="U112" s="206"/>
      <c r="V112" s="372"/>
    </row>
    <row r="113" spans="1:22" ht="22.5">
      <c r="A113" s="3" t="s">
        <v>923</v>
      </c>
      <c r="B113" s="368" t="s">
        <v>595</v>
      </c>
      <c r="C113" s="370">
        <v>1</v>
      </c>
      <c r="D113" s="141">
        <v>72.540000000000006</v>
      </c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40">
        <v>26477.1</v>
      </c>
      <c r="P113" s="138">
        <v>600</v>
      </c>
      <c r="Q113" s="139">
        <f t="shared" si="3"/>
        <v>6810.6</v>
      </c>
      <c r="R113" s="203">
        <f>+(O113+3810.6)/12</f>
        <v>2523.9749999999999</v>
      </c>
      <c r="S113" s="203">
        <f t="shared" si="0"/>
        <v>2523.9749999999999</v>
      </c>
      <c r="T113" s="203">
        <v>200</v>
      </c>
      <c r="U113" s="206"/>
      <c r="V113" s="372"/>
    </row>
    <row r="114" spans="1:22" ht="22.5">
      <c r="A114" s="3" t="s">
        <v>923</v>
      </c>
      <c r="B114" s="368" t="s">
        <v>595</v>
      </c>
      <c r="C114" s="370">
        <v>1</v>
      </c>
      <c r="D114" s="141">
        <v>54.41</v>
      </c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40">
        <v>19859.650000000001</v>
      </c>
      <c r="P114" s="138"/>
      <c r="Q114" s="139">
        <f>2250+2857.95</f>
        <v>5107.95</v>
      </c>
      <c r="R114" s="203">
        <f>+(O114+5715.9)/12</f>
        <v>2131.2958333333336</v>
      </c>
      <c r="S114" s="203">
        <f t="shared" si="0"/>
        <v>2131.2958333333336</v>
      </c>
      <c r="T114" s="203">
        <v>150</v>
      </c>
      <c r="U114" s="206"/>
      <c r="V114" s="372"/>
    </row>
    <row r="115" spans="1:22" ht="22.5">
      <c r="A115" s="3" t="s">
        <v>923</v>
      </c>
      <c r="B115" s="368" t="s">
        <v>595</v>
      </c>
      <c r="C115" s="370">
        <v>1</v>
      </c>
      <c r="D115" s="141">
        <v>72.540000000000006</v>
      </c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40">
        <v>26477.1</v>
      </c>
      <c r="P115" s="138"/>
      <c r="Q115" s="139">
        <f t="shared" si="3"/>
        <v>6810.6</v>
      </c>
      <c r="R115" s="203">
        <f>+(O115+3810.6)/12</f>
        <v>2523.9749999999999</v>
      </c>
      <c r="S115" s="203">
        <f t="shared" si="0"/>
        <v>2523.9749999999999</v>
      </c>
      <c r="T115" s="203">
        <v>200</v>
      </c>
      <c r="U115" s="206"/>
      <c r="V115" s="372"/>
    </row>
    <row r="116" spans="1:22" ht="22.5">
      <c r="A116" s="3" t="s">
        <v>923</v>
      </c>
      <c r="B116" s="368" t="s">
        <v>595</v>
      </c>
      <c r="C116" s="370">
        <v>1</v>
      </c>
      <c r="D116" s="141">
        <v>72.540000000000006</v>
      </c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40">
        <v>26477.1</v>
      </c>
      <c r="P116" s="138"/>
      <c r="Q116" s="139">
        <f t="shared" si="3"/>
        <v>6810.6</v>
      </c>
      <c r="R116" s="203">
        <f>+(O116+3810.6)/12</f>
        <v>2523.9749999999999</v>
      </c>
      <c r="S116" s="203">
        <f t="shared" si="0"/>
        <v>2523.9749999999999</v>
      </c>
      <c r="T116" s="203">
        <v>200</v>
      </c>
      <c r="U116" s="206"/>
      <c r="V116" s="372"/>
    </row>
    <row r="117" spans="1:22" ht="22.5">
      <c r="A117" s="3" t="s">
        <v>923</v>
      </c>
      <c r="B117" s="368" t="s">
        <v>595</v>
      </c>
      <c r="C117" s="370">
        <v>1</v>
      </c>
      <c r="D117" s="141">
        <v>54.41</v>
      </c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40">
        <v>19859.650000000001</v>
      </c>
      <c r="P117" s="138"/>
      <c r="Q117" s="139">
        <v>5107.95</v>
      </c>
      <c r="R117" s="203">
        <f>+(O117+5715.9)/12</f>
        <v>2131.2958333333336</v>
      </c>
      <c r="S117" s="203">
        <f t="shared" si="0"/>
        <v>2131.2958333333336</v>
      </c>
      <c r="T117" s="203">
        <v>150</v>
      </c>
      <c r="U117" s="206"/>
      <c r="V117" s="372"/>
    </row>
    <row r="118" spans="1:22" ht="22.5">
      <c r="A118" s="3" t="s">
        <v>923</v>
      </c>
      <c r="B118" s="368" t="s">
        <v>595</v>
      </c>
      <c r="C118" s="370">
        <v>1</v>
      </c>
      <c r="D118" s="141">
        <v>54.41</v>
      </c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40">
        <v>19859.650000000001</v>
      </c>
      <c r="P118" s="139">
        <v>315</v>
      </c>
      <c r="Q118" s="139">
        <v>5107.95</v>
      </c>
      <c r="R118" s="203">
        <f>+(O118+5715.9)/12</f>
        <v>2131.2958333333336</v>
      </c>
      <c r="S118" s="203">
        <f t="shared" si="0"/>
        <v>2131.2958333333336</v>
      </c>
      <c r="T118" s="203">
        <v>150</v>
      </c>
      <c r="U118" s="206"/>
      <c r="V118" s="372"/>
    </row>
    <row r="119" spans="1:22" ht="22.5">
      <c r="A119" s="3" t="s">
        <v>923</v>
      </c>
      <c r="B119" s="368" t="s">
        <v>595</v>
      </c>
      <c r="C119" s="370">
        <v>1</v>
      </c>
      <c r="D119" s="141">
        <v>54.41</v>
      </c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40">
        <v>19859.650000000001</v>
      </c>
      <c r="P119" s="138"/>
      <c r="Q119" s="139">
        <v>5107.95</v>
      </c>
      <c r="R119" s="203">
        <f>+(O119+5715.9)/12</f>
        <v>2131.2958333333336</v>
      </c>
      <c r="S119" s="203">
        <f t="shared" si="0"/>
        <v>2131.2958333333336</v>
      </c>
      <c r="T119" s="203">
        <v>150</v>
      </c>
      <c r="U119" s="206"/>
      <c r="V119" s="372"/>
    </row>
    <row r="120" spans="1:22" ht="22.5">
      <c r="A120" s="3" t="s">
        <v>923</v>
      </c>
      <c r="B120" s="368" t="s">
        <v>595</v>
      </c>
      <c r="C120" s="370">
        <v>1</v>
      </c>
      <c r="D120" s="141">
        <v>72.540000000000006</v>
      </c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40">
        <v>26477.1</v>
      </c>
      <c r="P120" s="139">
        <v>420</v>
      </c>
      <c r="Q120" s="139">
        <f>3000+3810.6</f>
        <v>6810.6</v>
      </c>
      <c r="R120" s="203">
        <f>+(O120+3810.6)/12</f>
        <v>2523.9749999999999</v>
      </c>
      <c r="S120" s="203">
        <f t="shared" si="0"/>
        <v>2523.9749999999999</v>
      </c>
      <c r="T120" s="203">
        <v>200</v>
      </c>
      <c r="U120" s="206"/>
      <c r="V120" s="372"/>
    </row>
    <row r="121" spans="1:22" ht="22.5">
      <c r="A121" s="3" t="s">
        <v>923</v>
      </c>
      <c r="B121" s="368" t="s">
        <v>595</v>
      </c>
      <c r="C121" s="370">
        <v>1</v>
      </c>
      <c r="D121" s="141">
        <v>36.270000000000003</v>
      </c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40">
        <v>13238.55</v>
      </c>
      <c r="P121" s="373">
        <v>300</v>
      </c>
      <c r="Q121" s="139">
        <v>3405.3</v>
      </c>
      <c r="R121" s="203">
        <f>+(O121+1905.3)/12</f>
        <v>1261.9875</v>
      </c>
      <c r="S121" s="203">
        <f t="shared" si="0"/>
        <v>1261.9875</v>
      </c>
      <c r="T121" s="203">
        <v>100</v>
      </c>
      <c r="U121" s="206"/>
      <c r="V121" s="372"/>
    </row>
    <row r="122" spans="1:22" ht="22.5">
      <c r="A122" s="3" t="s">
        <v>923</v>
      </c>
      <c r="B122" s="368" t="s">
        <v>595</v>
      </c>
      <c r="C122" s="370">
        <v>1</v>
      </c>
      <c r="D122" s="141">
        <v>72.540000000000006</v>
      </c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40">
        <v>26477.1</v>
      </c>
      <c r="P122" s="138">
        <v>900</v>
      </c>
      <c r="Q122" s="139">
        <f>3000+3810.6</f>
        <v>6810.6</v>
      </c>
      <c r="R122" s="203">
        <f>+(O122+3810.6)/12</f>
        <v>2523.9749999999999</v>
      </c>
      <c r="S122" s="203">
        <f t="shared" si="0"/>
        <v>2523.9749999999999</v>
      </c>
      <c r="T122" s="203">
        <v>200</v>
      </c>
      <c r="U122" s="206"/>
      <c r="V122" s="372"/>
    </row>
    <row r="123" spans="1:22" ht="22.5">
      <c r="A123" s="3" t="s">
        <v>926</v>
      </c>
      <c r="B123" s="368" t="s">
        <v>595</v>
      </c>
      <c r="C123" s="370">
        <v>1</v>
      </c>
      <c r="D123" s="141">
        <v>78.25</v>
      </c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40">
        <v>28561.25</v>
      </c>
      <c r="P123" s="138">
        <v>600</v>
      </c>
      <c r="Q123" s="139">
        <f>3000+3810.6</f>
        <v>6810.6</v>
      </c>
      <c r="R123" s="203">
        <f>+(O123+3810.6)/12</f>
        <v>2697.6541666666667</v>
      </c>
      <c r="S123" s="203">
        <f t="shared" si="0"/>
        <v>2697.6541666666667</v>
      </c>
      <c r="T123" s="203">
        <v>200</v>
      </c>
      <c r="U123" s="206"/>
      <c r="V123" s="372"/>
    </row>
    <row r="124" spans="1:22" ht="22.5">
      <c r="A124" s="3" t="s">
        <v>923</v>
      </c>
      <c r="B124" s="368" t="s">
        <v>595</v>
      </c>
      <c r="C124" s="370">
        <v>1</v>
      </c>
      <c r="D124" s="141">
        <v>54.41</v>
      </c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40">
        <v>19859.650000000001</v>
      </c>
      <c r="P124" s="138"/>
      <c r="Q124" s="139">
        <v>5107.95</v>
      </c>
      <c r="R124" s="203">
        <f>+(O124+5715.9)/12</f>
        <v>2131.2958333333336</v>
      </c>
      <c r="S124" s="203">
        <f t="shared" si="0"/>
        <v>2131.2958333333336</v>
      </c>
      <c r="T124" s="203">
        <v>150</v>
      </c>
      <c r="U124" s="206"/>
      <c r="V124" s="372"/>
    </row>
    <row r="125" spans="1:22" ht="22.5">
      <c r="A125" s="3" t="s">
        <v>923</v>
      </c>
      <c r="B125" s="368" t="s">
        <v>595</v>
      </c>
      <c r="C125" s="370">
        <v>1</v>
      </c>
      <c r="D125" s="141">
        <v>54.41</v>
      </c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40">
        <v>19859.650000000001</v>
      </c>
      <c r="P125" s="138"/>
      <c r="Q125" s="139">
        <v>5107.95</v>
      </c>
      <c r="R125" s="203">
        <f>+(O125+5715.9)/12</f>
        <v>2131.2958333333336</v>
      </c>
      <c r="S125" s="203">
        <f t="shared" si="0"/>
        <v>2131.2958333333336</v>
      </c>
      <c r="T125" s="203">
        <v>150</v>
      </c>
      <c r="U125" s="206"/>
      <c r="V125" s="372"/>
    </row>
    <row r="126" spans="1:22" ht="22.5">
      <c r="A126" s="3" t="s">
        <v>923</v>
      </c>
      <c r="B126" s="368" t="s">
        <v>595</v>
      </c>
      <c r="C126" s="374">
        <v>2</v>
      </c>
      <c r="D126" s="141">
        <v>72.540000000000006</v>
      </c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40">
        <v>52954.2</v>
      </c>
      <c r="P126" s="138"/>
      <c r="Q126" s="139">
        <f>6000+7621.2</f>
        <v>13621.2</v>
      </c>
      <c r="R126" s="203">
        <f>+(O126+7621.2)/12</f>
        <v>5047.95</v>
      </c>
      <c r="S126" s="203">
        <f t="shared" si="0"/>
        <v>5047.95</v>
      </c>
      <c r="T126" s="203">
        <v>400</v>
      </c>
      <c r="U126" s="206"/>
      <c r="V126" s="372"/>
    </row>
    <row r="127" spans="1:22" ht="22.5">
      <c r="A127" s="3" t="s">
        <v>923</v>
      </c>
      <c r="B127" s="368" t="s">
        <v>595</v>
      </c>
      <c r="C127" s="370">
        <v>1</v>
      </c>
      <c r="D127" s="141">
        <v>54.41</v>
      </c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40">
        <v>19859.650000000001</v>
      </c>
      <c r="P127" s="138"/>
      <c r="Q127" s="139">
        <v>5107.95</v>
      </c>
      <c r="R127" s="203">
        <f>+(O127+5715.9)/12</f>
        <v>2131.2958333333336</v>
      </c>
      <c r="S127" s="203">
        <f t="shared" si="0"/>
        <v>2131.2958333333336</v>
      </c>
      <c r="T127" s="203">
        <v>150</v>
      </c>
      <c r="U127" s="206"/>
      <c r="V127" s="372"/>
    </row>
    <row r="128" spans="1:22" ht="22.5">
      <c r="A128" s="3" t="s">
        <v>923</v>
      </c>
      <c r="B128" s="368" t="s">
        <v>595</v>
      </c>
      <c r="C128" s="370">
        <v>1</v>
      </c>
      <c r="D128" s="141">
        <v>72.540000000000006</v>
      </c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40">
        <v>26477.1</v>
      </c>
      <c r="P128" s="138"/>
      <c r="Q128" s="139">
        <f t="shared" ref="Q128:Q137" si="4">3000+3810.6</f>
        <v>6810.6</v>
      </c>
      <c r="R128" s="203">
        <f t="shared" ref="R128:R137" si="5">+(O128+3810.6)/12</f>
        <v>2523.9749999999999</v>
      </c>
      <c r="S128" s="203">
        <f t="shared" si="0"/>
        <v>2523.9749999999999</v>
      </c>
      <c r="T128" s="203">
        <v>200</v>
      </c>
      <c r="U128" s="206"/>
      <c r="V128" s="372"/>
    </row>
    <row r="129" spans="1:30" ht="22.5">
      <c r="A129" s="3" t="s">
        <v>923</v>
      </c>
      <c r="B129" s="368" t="s">
        <v>595</v>
      </c>
      <c r="C129" s="370">
        <v>1</v>
      </c>
      <c r="D129" s="141">
        <v>72.540000000000006</v>
      </c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40">
        <v>26477.1</v>
      </c>
      <c r="P129" s="138"/>
      <c r="Q129" s="139">
        <f t="shared" si="4"/>
        <v>6810.6</v>
      </c>
      <c r="R129" s="203">
        <f t="shared" si="5"/>
        <v>2523.9749999999999</v>
      </c>
      <c r="S129" s="203">
        <f t="shared" si="0"/>
        <v>2523.9749999999999</v>
      </c>
      <c r="T129" s="203">
        <v>200</v>
      </c>
      <c r="U129" s="206"/>
      <c r="V129" s="372"/>
    </row>
    <row r="130" spans="1:30" ht="22.5">
      <c r="A130" s="3" t="s">
        <v>923</v>
      </c>
      <c r="B130" s="368" t="s">
        <v>595</v>
      </c>
      <c r="C130" s="370">
        <v>1</v>
      </c>
      <c r="D130" s="141">
        <v>72.540000000000006</v>
      </c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40">
        <v>26477.1</v>
      </c>
      <c r="P130" s="138">
        <v>600</v>
      </c>
      <c r="Q130" s="139">
        <f t="shared" si="4"/>
        <v>6810.6</v>
      </c>
      <c r="R130" s="203">
        <f t="shared" si="5"/>
        <v>2523.9749999999999</v>
      </c>
      <c r="S130" s="203">
        <f t="shared" si="0"/>
        <v>2523.9749999999999</v>
      </c>
      <c r="T130" s="203">
        <v>200</v>
      </c>
      <c r="U130" s="206"/>
      <c r="V130" s="372"/>
    </row>
    <row r="131" spans="1:30" ht="22.5">
      <c r="A131" s="3" t="s">
        <v>923</v>
      </c>
      <c r="B131" s="368" t="s">
        <v>595</v>
      </c>
      <c r="C131" s="370">
        <v>1</v>
      </c>
      <c r="D131" s="141">
        <v>72.540000000000006</v>
      </c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40">
        <v>26477.1</v>
      </c>
      <c r="P131" s="140"/>
      <c r="Q131" s="139">
        <f t="shared" si="4"/>
        <v>6810.6</v>
      </c>
      <c r="R131" s="203">
        <f t="shared" si="5"/>
        <v>2523.9749999999999</v>
      </c>
      <c r="S131" s="203">
        <f t="shared" si="0"/>
        <v>2523.9749999999999</v>
      </c>
      <c r="T131" s="203">
        <v>200</v>
      </c>
      <c r="U131" s="206"/>
      <c r="V131" s="372"/>
    </row>
    <row r="132" spans="1:30" ht="22.5">
      <c r="A132" s="3" t="s">
        <v>923</v>
      </c>
      <c r="B132" s="368" t="s">
        <v>595</v>
      </c>
      <c r="C132" s="369">
        <v>1</v>
      </c>
      <c r="D132" s="140">
        <v>72.540000000000006</v>
      </c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40">
        <v>26477.1</v>
      </c>
      <c r="P132" s="138"/>
      <c r="Q132" s="139">
        <f t="shared" si="4"/>
        <v>6810.6</v>
      </c>
      <c r="R132" s="203">
        <f t="shared" si="5"/>
        <v>2523.9749999999999</v>
      </c>
      <c r="S132" s="203">
        <f t="shared" si="0"/>
        <v>2523.9749999999999</v>
      </c>
      <c r="T132" s="203">
        <v>200</v>
      </c>
      <c r="U132" s="206"/>
      <c r="V132" s="372"/>
    </row>
    <row r="133" spans="1:30" ht="22.5">
      <c r="A133" s="3" t="s">
        <v>926</v>
      </c>
      <c r="B133" s="368" t="s">
        <v>595</v>
      </c>
      <c r="C133" s="369">
        <v>1</v>
      </c>
      <c r="D133" s="140">
        <v>78.25</v>
      </c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40">
        <v>28561.25</v>
      </c>
      <c r="P133" s="138"/>
      <c r="Q133" s="139">
        <f t="shared" si="4"/>
        <v>6810.6</v>
      </c>
      <c r="R133" s="203">
        <f t="shared" si="5"/>
        <v>2697.6541666666667</v>
      </c>
      <c r="S133" s="203">
        <f t="shared" si="0"/>
        <v>2697.6541666666667</v>
      </c>
      <c r="T133" s="203">
        <v>200</v>
      </c>
      <c r="U133" s="206"/>
      <c r="V133" s="372"/>
    </row>
    <row r="134" spans="1:30" ht="22.5">
      <c r="A134" s="3" t="s">
        <v>923</v>
      </c>
      <c r="B134" s="368" t="s">
        <v>595</v>
      </c>
      <c r="C134" s="369">
        <v>1</v>
      </c>
      <c r="D134" s="140">
        <v>36.270000000000003</v>
      </c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40">
        <v>13238.55</v>
      </c>
      <c r="P134" s="138"/>
      <c r="Q134" s="139">
        <v>3405.3</v>
      </c>
      <c r="R134" s="203">
        <f>+(O134+1905.3)/12</f>
        <v>1261.9875</v>
      </c>
      <c r="S134" s="203">
        <f t="shared" si="0"/>
        <v>1261.9875</v>
      </c>
      <c r="T134" s="203">
        <v>100</v>
      </c>
      <c r="U134" s="206"/>
      <c r="V134" s="372"/>
    </row>
    <row r="135" spans="1:30" ht="22.5">
      <c r="A135" s="3" t="s">
        <v>923</v>
      </c>
      <c r="B135" s="368" t="s">
        <v>595</v>
      </c>
      <c r="C135" s="369">
        <v>1</v>
      </c>
      <c r="D135" s="140">
        <v>72.540000000000006</v>
      </c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40">
        <v>26477.1</v>
      </c>
      <c r="P135" s="138"/>
      <c r="Q135" s="139">
        <f t="shared" si="4"/>
        <v>6810.6</v>
      </c>
      <c r="R135" s="203">
        <f t="shared" si="5"/>
        <v>2523.9749999999999</v>
      </c>
      <c r="S135" s="203">
        <f t="shared" si="0"/>
        <v>2523.9749999999999</v>
      </c>
      <c r="T135" s="203">
        <v>200</v>
      </c>
      <c r="U135" s="206"/>
      <c r="V135" s="372"/>
    </row>
    <row r="136" spans="1:30" ht="33.75">
      <c r="A136" s="3" t="s">
        <v>927</v>
      </c>
      <c r="B136" s="368" t="s">
        <v>595</v>
      </c>
      <c r="C136" s="369">
        <v>1</v>
      </c>
      <c r="D136" s="140">
        <v>72.540000000000006</v>
      </c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40">
        <v>26477.1</v>
      </c>
      <c r="P136" s="138">
        <v>420</v>
      </c>
      <c r="Q136" s="139">
        <f t="shared" si="4"/>
        <v>6810.6</v>
      </c>
      <c r="R136" s="203">
        <f t="shared" si="5"/>
        <v>2523.9749999999999</v>
      </c>
      <c r="S136" s="203">
        <f t="shared" si="0"/>
        <v>2523.9749999999999</v>
      </c>
      <c r="T136" s="203">
        <v>200</v>
      </c>
      <c r="U136" s="206"/>
      <c r="V136" s="372"/>
    </row>
    <row r="137" spans="1:30" ht="22.5">
      <c r="A137" s="3" t="s">
        <v>923</v>
      </c>
      <c r="B137" s="368" t="s">
        <v>595</v>
      </c>
      <c r="C137" s="370">
        <v>1</v>
      </c>
      <c r="D137" s="140">
        <v>72.540000000000006</v>
      </c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40">
        <v>26477.1</v>
      </c>
      <c r="P137" s="138">
        <v>600</v>
      </c>
      <c r="Q137" s="139">
        <f t="shared" si="4"/>
        <v>6810.6</v>
      </c>
      <c r="R137" s="203">
        <f t="shared" si="5"/>
        <v>2523.9749999999999</v>
      </c>
      <c r="S137" s="203">
        <f t="shared" si="0"/>
        <v>2523.9749999999999</v>
      </c>
      <c r="T137" s="203">
        <v>200</v>
      </c>
      <c r="U137" s="206"/>
      <c r="V137" s="372"/>
    </row>
    <row r="138" spans="1:30" ht="22.5">
      <c r="A138" s="3" t="s">
        <v>926</v>
      </c>
      <c r="B138" s="368" t="s">
        <v>595</v>
      </c>
      <c r="C138" s="370">
        <v>2</v>
      </c>
      <c r="D138" s="140">
        <v>78.25</v>
      </c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40">
        <v>57122.5</v>
      </c>
      <c r="P138" s="138">
        <v>1200</v>
      </c>
      <c r="Q138" s="139">
        <f>3000+7621.2</f>
        <v>10621.2</v>
      </c>
      <c r="R138" s="203">
        <f>+(O138+7621.2)/12</f>
        <v>5395.3083333333334</v>
      </c>
      <c r="S138" s="203">
        <f t="shared" si="0"/>
        <v>5395.3083333333334</v>
      </c>
      <c r="T138" s="203">
        <v>400</v>
      </c>
      <c r="U138" s="206"/>
      <c r="V138" s="372"/>
    </row>
    <row r="139" spans="1:30" ht="22.5">
      <c r="A139" s="3" t="s">
        <v>923</v>
      </c>
      <c r="B139" s="368" t="s">
        <v>595</v>
      </c>
      <c r="C139" s="370">
        <v>1</v>
      </c>
      <c r="D139" s="140">
        <v>54.41</v>
      </c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40">
        <v>19859.650000000001</v>
      </c>
      <c r="P139" s="138">
        <v>450</v>
      </c>
      <c r="Q139" s="139">
        <v>5107.95</v>
      </c>
      <c r="R139" s="139">
        <f>+(O139+5715.9)/12</f>
        <v>2131.2958333333336</v>
      </c>
      <c r="S139" s="139">
        <f t="shared" si="0"/>
        <v>2131.2958333333336</v>
      </c>
      <c r="T139" s="139">
        <v>150</v>
      </c>
      <c r="U139" s="206"/>
      <c r="V139" s="372"/>
    </row>
    <row r="140" spans="1:30">
      <c r="A140" s="371" t="s">
        <v>1029</v>
      </c>
      <c r="B140" s="368" t="s">
        <v>595</v>
      </c>
      <c r="C140" s="370">
        <v>1</v>
      </c>
      <c r="D140" s="140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40"/>
      <c r="P140" s="138"/>
      <c r="Q140" s="139"/>
      <c r="R140" s="139"/>
      <c r="S140" s="139"/>
      <c r="T140" s="139"/>
      <c r="U140" s="206">
        <v>65000</v>
      </c>
      <c r="V140" s="372"/>
    </row>
    <row r="141" spans="1:30" ht="23.25">
      <c r="A141" s="375" t="s">
        <v>611</v>
      </c>
      <c r="B141" s="368" t="s">
        <v>612</v>
      </c>
      <c r="C141" s="369">
        <v>1</v>
      </c>
      <c r="D141" s="140">
        <v>9000</v>
      </c>
      <c r="E141" s="137"/>
      <c r="F141" s="137"/>
      <c r="G141" s="137"/>
      <c r="H141" s="137"/>
      <c r="I141" s="137"/>
      <c r="J141" s="137"/>
      <c r="K141" s="137"/>
      <c r="L141" s="137"/>
      <c r="M141" s="137"/>
      <c r="N141" s="137">
        <v>108000</v>
      </c>
      <c r="O141" s="138"/>
      <c r="P141" s="138"/>
      <c r="Q141" s="139"/>
      <c r="R141" s="139"/>
      <c r="S141" s="139"/>
      <c r="T141" s="139"/>
      <c r="U141" s="206"/>
      <c r="V141" s="367"/>
      <c r="W141" s="367"/>
      <c r="X141" s="367"/>
      <c r="Y141" s="367"/>
      <c r="Z141" s="367"/>
      <c r="AA141" s="133"/>
      <c r="AB141" s="133"/>
      <c r="AC141" s="133"/>
      <c r="AD141" s="133"/>
    </row>
    <row r="142" spans="1:30" ht="23.25">
      <c r="A142" s="375" t="s">
        <v>613</v>
      </c>
      <c r="B142" s="368" t="s">
        <v>612</v>
      </c>
      <c r="C142" s="369">
        <v>1</v>
      </c>
      <c r="D142" s="140">
        <v>5000</v>
      </c>
      <c r="E142" s="137"/>
      <c r="F142" s="137"/>
      <c r="G142" s="137"/>
      <c r="H142" s="137"/>
      <c r="I142" s="137"/>
      <c r="J142" s="137"/>
      <c r="K142" s="137"/>
      <c r="L142" s="137"/>
      <c r="M142" s="137"/>
      <c r="N142" s="137">
        <v>60000</v>
      </c>
      <c r="O142" s="138"/>
      <c r="P142" s="138"/>
      <c r="Q142" s="139"/>
      <c r="R142" s="203"/>
      <c r="S142" s="203"/>
      <c r="T142" s="203"/>
      <c r="U142" s="206"/>
      <c r="V142" s="367"/>
      <c r="W142" s="367"/>
      <c r="X142" s="367"/>
      <c r="Y142" s="367"/>
      <c r="Z142" s="367"/>
      <c r="AA142" s="133"/>
      <c r="AB142" s="133"/>
      <c r="AC142" s="133"/>
      <c r="AD142" s="133"/>
    </row>
    <row r="143" spans="1:30" ht="23.25">
      <c r="A143" s="375" t="s">
        <v>614</v>
      </c>
      <c r="B143" s="368" t="s">
        <v>612</v>
      </c>
      <c r="C143" s="369">
        <v>4</v>
      </c>
      <c r="D143" s="140">
        <v>6075</v>
      </c>
      <c r="E143" s="137"/>
      <c r="F143" s="137"/>
      <c r="G143" s="137"/>
      <c r="H143" s="137"/>
      <c r="I143" s="137"/>
      <c r="J143" s="137"/>
      <c r="K143" s="137"/>
      <c r="L143" s="137"/>
      <c r="M143" s="137"/>
      <c r="N143" s="137">
        <v>291600</v>
      </c>
      <c r="O143" s="138"/>
      <c r="P143" s="138"/>
      <c r="Q143" s="139"/>
      <c r="R143" s="203"/>
      <c r="S143" s="203"/>
      <c r="T143" s="203"/>
      <c r="U143" s="206"/>
      <c r="V143" s="367"/>
      <c r="W143" s="367"/>
      <c r="X143" s="367"/>
      <c r="Y143" s="367"/>
      <c r="Z143" s="367"/>
      <c r="AA143" s="133"/>
      <c r="AB143" s="133"/>
      <c r="AC143" s="133"/>
      <c r="AD143" s="133"/>
    </row>
    <row r="144" spans="1:30" ht="23.25">
      <c r="A144" s="375" t="s">
        <v>615</v>
      </c>
      <c r="B144" s="368" t="s">
        <v>612</v>
      </c>
      <c r="C144" s="369">
        <v>1</v>
      </c>
      <c r="D144" s="140">
        <v>9200</v>
      </c>
      <c r="E144" s="137"/>
      <c r="F144" s="137"/>
      <c r="G144" s="137"/>
      <c r="H144" s="137"/>
      <c r="I144" s="137"/>
      <c r="J144" s="137"/>
      <c r="K144" s="137"/>
      <c r="L144" s="137"/>
      <c r="M144" s="137"/>
      <c r="N144" s="137">
        <v>110400</v>
      </c>
      <c r="O144" s="138"/>
      <c r="P144" s="138"/>
      <c r="Q144" s="139"/>
      <c r="R144" s="203"/>
      <c r="S144" s="203"/>
      <c r="T144" s="203"/>
      <c r="U144" s="206"/>
      <c r="V144" s="367"/>
      <c r="W144" s="367"/>
      <c r="X144" s="367"/>
      <c r="Y144" s="367"/>
      <c r="Z144" s="367"/>
      <c r="AA144" s="133"/>
      <c r="AB144" s="133"/>
      <c r="AC144" s="133"/>
      <c r="AD144" s="133"/>
    </row>
    <row r="145" spans="1:30" ht="23.25">
      <c r="A145" s="375" t="s">
        <v>616</v>
      </c>
      <c r="B145" s="368" t="s">
        <v>612</v>
      </c>
      <c r="C145" s="369">
        <v>1</v>
      </c>
      <c r="D145" s="140">
        <v>11500</v>
      </c>
      <c r="E145" s="137"/>
      <c r="F145" s="137"/>
      <c r="G145" s="137"/>
      <c r="H145" s="137"/>
      <c r="I145" s="137"/>
      <c r="J145" s="137"/>
      <c r="K145" s="137"/>
      <c r="L145" s="137"/>
      <c r="M145" s="137"/>
      <c r="N145" s="137">
        <v>138000</v>
      </c>
      <c r="O145" s="138"/>
      <c r="P145" s="138"/>
      <c r="Q145" s="139"/>
      <c r="R145" s="203"/>
      <c r="S145" s="203"/>
      <c r="T145" s="203"/>
      <c r="U145" s="206"/>
      <c r="V145" s="367"/>
      <c r="W145" s="367"/>
      <c r="X145" s="367"/>
      <c r="Y145" s="367"/>
      <c r="Z145" s="367"/>
      <c r="AA145" s="133"/>
      <c r="AB145" s="133"/>
      <c r="AC145" s="133"/>
      <c r="AD145" s="133"/>
    </row>
    <row r="146" spans="1:30" ht="23.25">
      <c r="A146" s="375" t="s">
        <v>614</v>
      </c>
      <c r="B146" s="368" t="s">
        <v>612</v>
      </c>
      <c r="C146" s="369">
        <v>4</v>
      </c>
      <c r="D146" s="140">
        <v>6075</v>
      </c>
      <c r="E146" s="137"/>
      <c r="F146" s="137"/>
      <c r="G146" s="137"/>
      <c r="H146" s="137"/>
      <c r="I146" s="137"/>
      <c r="J146" s="137"/>
      <c r="K146" s="137"/>
      <c r="L146" s="137"/>
      <c r="M146" s="137"/>
      <c r="N146" s="137">
        <v>291600</v>
      </c>
      <c r="O146" s="138"/>
      <c r="P146" s="138"/>
      <c r="Q146" s="139"/>
      <c r="R146" s="203"/>
      <c r="S146" s="203"/>
      <c r="T146" s="203"/>
      <c r="U146" s="206"/>
      <c r="V146" s="367"/>
      <c r="W146" s="367"/>
      <c r="X146" s="367"/>
      <c r="Y146" s="367"/>
      <c r="Z146" s="367"/>
      <c r="AA146" s="133"/>
      <c r="AB146" s="133"/>
      <c r="AC146" s="133"/>
      <c r="AD146" s="133"/>
    </row>
    <row r="147" spans="1:30" ht="23.25">
      <c r="A147" s="375" t="s">
        <v>617</v>
      </c>
      <c r="B147" s="368" t="s">
        <v>612</v>
      </c>
      <c r="C147" s="369">
        <v>1</v>
      </c>
      <c r="D147" s="140">
        <v>5000</v>
      </c>
      <c r="E147" s="137"/>
      <c r="F147" s="137"/>
      <c r="G147" s="137"/>
      <c r="H147" s="137"/>
      <c r="I147" s="137"/>
      <c r="J147" s="137"/>
      <c r="K147" s="137"/>
      <c r="L147" s="137"/>
      <c r="M147" s="137"/>
      <c r="N147" s="137">
        <v>60000</v>
      </c>
      <c r="O147" s="138"/>
      <c r="P147" s="138"/>
      <c r="Q147" s="139"/>
      <c r="R147" s="203"/>
      <c r="S147" s="203"/>
      <c r="T147" s="203"/>
      <c r="U147" s="206"/>
      <c r="V147" s="367"/>
      <c r="W147" s="367"/>
      <c r="X147" s="367"/>
      <c r="Y147" s="367"/>
      <c r="Z147" s="367"/>
      <c r="AA147" s="133"/>
      <c r="AB147" s="133"/>
      <c r="AC147" s="133"/>
      <c r="AD147" s="133"/>
    </row>
    <row r="148" spans="1:30" ht="23.25">
      <c r="A148" s="375" t="s">
        <v>605</v>
      </c>
      <c r="B148" s="368" t="s">
        <v>612</v>
      </c>
      <c r="C148" s="369">
        <v>1</v>
      </c>
      <c r="D148" s="140">
        <v>7500</v>
      </c>
      <c r="E148" s="137"/>
      <c r="F148" s="137"/>
      <c r="G148" s="137"/>
      <c r="H148" s="137"/>
      <c r="I148" s="137"/>
      <c r="J148" s="137"/>
      <c r="K148" s="137"/>
      <c r="L148" s="137"/>
      <c r="M148" s="137"/>
      <c r="N148" s="137">
        <v>90000</v>
      </c>
      <c r="O148" s="138"/>
      <c r="P148" s="138"/>
      <c r="Q148" s="139"/>
      <c r="R148" s="203"/>
      <c r="S148" s="203"/>
      <c r="T148" s="203"/>
      <c r="U148" s="206"/>
      <c r="V148" s="367"/>
      <c r="W148" s="367"/>
      <c r="X148" s="367"/>
      <c r="Y148" s="367"/>
      <c r="Z148" s="367"/>
      <c r="AA148" s="133"/>
      <c r="AB148" s="133"/>
      <c r="AC148" s="133"/>
      <c r="AD148" s="133"/>
    </row>
    <row r="149" spans="1:30">
      <c r="A149" s="3" t="s">
        <v>639</v>
      </c>
      <c r="B149" s="368" t="s">
        <v>612</v>
      </c>
      <c r="C149" s="369">
        <v>4</v>
      </c>
      <c r="D149" s="140">
        <v>72.540000000000006</v>
      </c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8">
        <v>105908.4</v>
      </c>
      <c r="P149" s="138">
        <v>1200</v>
      </c>
      <c r="Q149" s="139">
        <f>3000+15242.4</f>
        <v>18242.400000000001</v>
      </c>
      <c r="R149" s="203">
        <f>+(O149+15242.4)/12</f>
        <v>10095.9</v>
      </c>
      <c r="S149" s="203">
        <f>+R149</f>
        <v>10095.9</v>
      </c>
      <c r="T149" s="203">
        <v>800</v>
      </c>
      <c r="U149" s="206"/>
      <c r="V149" s="367"/>
      <c r="X149" s="367"/>
      <c r="Y149" s="367"/>
      <c r="Z149" s="367"/>
      <c r="AA149" s="133"/>
      <c r="AB149" s="133"/>
      <c r="AC149" s="133"/>
      <c r="AD149" s="133"/>
    </row>
    <row r="150" spans="1:30">
      <c r="A150" s="3" t="s">
        <v>638</v>
      </c>
      <c r="B150" s="368" t="s">
        <v>612</v>
      </c>
      <c r="C150" s="369">
        <v>4</v>
      </c>
      <c r="D150" s="140">
        <v>71.400000000000006</v>
      </c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40">
        <v>104244</v>
      </c>
      <c r="P150" s="138">
        <v>840</v>
      </c>
      <c r="Q150" s="139">
        <f>12000+15242.4</f>
        <v>27242.400000000001</v>
      </c>
      <c r="R150" s="203">
        <f>+(O150+15242.4)/12</f>
        <v>9957.1999999999989</v>
      </c>
      <c r="S150" s="203">
        <f t="shared" ref="S150:S156" si="6">+R150</f>
        <v>9957.1999999999989</v>
      </c>
      <c r="T150" s="203">
        <v>800</v>
      </c>
      <c r="U150" s="206"/>
      <c r="V150" s="367"/>
      <c r="W150" s="367"/>
      <c r="X150" s="367"/>
      <c r="Y150" s="367"/>
      <c r="Z150" s="367"/>
      <c r="AA150" s="133"/>
      <c r="AB150" s="133"/>
      <c r="AC150" s="133"/>
      <c r="AD150" s="133"/>
    </row>
    <row r="151" spans="1:30" ht="22.5">
      <c r="A151" s="3" t="s">
        <v>923</v>
      </c>
      <c r="B151" s="368" t="s">
        <v>612</v>
      </c>
      <c r="C151" s="369">
        <v>3</v>
      </c>
      <c r="D151" s="140">
        <v>72.540000000000006</v>
      </c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40">
        <v>79431.299999999988</v>
      </c>
      <c r="P151" s="138">
        <v>50</v>
      </c>
      <c r="Q151" s="139">
        <f>9000+11431.8</f>
        <v>20431.8</v>
      </c>
      <c r="R151" s="203">
        <f>+(O151+11431.8)/12</f>
        <v>7571.9249999999993</v>
      </c>
      <c r="S151" s="203">
        <f t="shared" si="6"/>
        <v>7571.9249999999993</v>
      </c>
      <c r="T151" s="203">
        <v>600</v>
      </c>
      <c r="U151" s="206"/>
      <c r="V151" s="367"/>
      <c r="W151" s="367"/>
      <c r="X151" s="367"/>
      <c r="Y151" s="367"/>
      <c r="Z151" s="367"/>
      <c r="AA151" s="133"/>
      <c r="AB151" s="133"/>
      <c r="AC151" s="133"/>
      <c r="AD151" s="133"/>
    </row>
    <row r="152" spans="1:30" ht="22.5">
      <c r="A152" s="3" t="s">
        <v>923</v>
      </c>
      <c r="B152" s="368" t="s">
        <v>612</v>
      </c>
      <c r="C152" s="370">
        <v>2</v>
      </c>
      <c r="D152" s="140">
        <v>72.540000000000006</v>
      </c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40">
        <v>52954.2</v>
      </c>
      <c r="P152" s="138">
        <v>1200</v>
      </c>
      <c r="Q152" s="139">
        <f>6000+7621.2</f>
        <v>13621.2</v>
      </c>
      <c r="R152" s="203">
        <f>+(O152+7621.2)/12</f>
        <v>5047.95</v>
      </c>
      <c r="S152" s="203">
        <f t="shared" si="6"/>
        <v>5047.95</v>
      </c>
      <c r="T152" s="203">
        <v>400</v>
      </c>
      <c r="U152" s="206"/>
      <c r="V152" s="367"/>
      <c r="W152" s="367"/>
      <c r="X152" s="367"/>
      <c r="Y152" s="367"/>
      <c r="Z152" s="367"/>
      <c r="AA152" s="133"/>
      <c r="AB152" s="133"/>
      <c r="AC152" s="133"/>
      <c r="AD152" s="133"/>
    </row>
    <row r="153" spans="1:30" ht="22.5">
      <c r="A153" s="3" t="s">
        <v>923</v>
      </c>
      <c r="B153" s="368" t="s">
        <v>612</v>
      </c>
      <c r="C153" s="370">
        <v>4</v>
      </c>
      <c r="D153" s="141">
        <v>72.540000000000006</v>
      </c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40">
        <v>105908.4</v>
      </c>
      <c r="P153" s="138">
        <v>2400</v>
      </c>
      <c r="Q153" s="139">
        <f>12000+15242.4</f>
        <v>27242.400000000001</v>
      </c>
      <c r="R153" s="203">
        <f>+(O153+15242.4)/12</f>
        <v>10095.9</v>
      </c>
      <c r="S153" s="203">
        <f t="shared" si="6"/>
        <v>10095.9</v>
      </c>
      <c r="T153" s="203">
        <v>800</v>
      </c>
      <c r="U153" s="206"/>
      <c r="V153" s="367"/>
      <c r="W153" s="367"/>
      <c r="X153" s="367"/>
      <c r="Y153" s="367"/>
      <c r="Z153" s="367"/>
      <c r="AA153" s="133"/>
      <c r="AB153" s="133"/>
      <c r="AC153" s="133"/>
      <c r="AD153" s="133"/>
    </row>
    <row r="154" spans="1:30">
      <c r="A154" s="3" t="s">
        <v>641</v>
      </c>
      <c r="B154" s="368" t="s">
        <v>612</v>
      </c>
      <c r="C154" s="370">
        <v>1</v>
      </c>
      <c r="D154" s="141">
        <v>26.78</v>
      </c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40">
        <v>9774.7000000000007</v>
      </c>
      <c r="P154" s="138"/>
      <c r="Q154" s="139">
        <f>1125+4281.45</f>
        <v>5406.45</v>
      </c>
      <c r="R154" s="203">
        <f>+(O154+4281.45)/12</f>
        <v>1171.3458333333335</v>
      </c>
      <c r="S154" s="203">
        <f t="shared" si="6"/>
        <v>1171.3458333333335</v>
      </c>
      <c r="T154" s="203">
        <v>75</v>
      </c>
      <c r="U154" s="206"/>
      <c r="V154" s="367"/>
      <c r="W154" s="367"/>
      <c r="X154" s="367"/>
      <c r="Y154" s="367"/>
      <c r="Z154" s="367"/>
      <c r="AA154" s="133"/>
      <c r="AB154" s="133"/>
      <c r="AC154" s="133"/>
      <c r="AD154" s="133"/>
    </row>
    <row r="155" spans="1:30">
      <c r="A155" s="3" t="s">
        <v>638</v>
      </c>
      <c r="B155" s="368" t="s">
        <v>612</v>
      </c>
      <c r="C155" s="370">
        <v>3</v>
      </c>
      <c r="D155" s="141">
        <v>71.400000000000006</v>
      </c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40">
        <v>78183</v>
      </c>
      <c r="P155" s="138">
        <v>840</v>
      </c>
      <c r="Q155" s="139">
        <f>12000+15242.4</f>
        <v>27242.400000000001</v>
      </c>
      <c r="R155" s="203">
        <f>+(O155+15242.4)/12</f>
        <v>7785.45</v>
      </c>
      <c r="S155" s="203">
        <f t="shared" si="6"/>
        <v>7785.45</v>
      </c>
      <c r="T155" s="203">
        <v>600</v>
      </c>
      <c r="U155" s="206"/>
      <c r="V155" s="367"/>
      <c r="W155" s="367"/>
      <c r="X155" s="367"/>
      <c r="Y155" s="367"/>
      <c r="Z155" s="367"/>
      <c r="AA155" s="133"/>
      <c r="AB155" s="133"/>
      <c r="AC155" s="133"/>
      <c r="AD155" s="133"/>
    </row>
    <row r="156" spans="1:30">
      <c r="A156" s="3" t="s">
        <v>641</v>
      </c>
      <c r="B156" s="368" t="s">
        <v>612</v>
      </c>
      <c r="C156" s="370">
        <v>1</v>
      </c>
      <c r="D156" s="141">
        <v>26.78</v>
      </c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40">
        <v>9774.7000000000007</v>
      </c>
      <c r="P156" s="139"/>
      <c r="Q156" s="139">
        <f>1125+4281.45</f>
        <v>5406.45</v>
      </c>
      <c r="R156" s="139">
        <f>+(O156+4281.45)/12</f>
        <v>1171.3458333333335</v>
      </c>
      <c r="S156" s="139">
        <f t="shared" si="6"/>
        <v>1171.3458333333335</v>
      </c>
      <c r="T156" s="139">
        <v>75</v>
      </c>
      <c r="U156" s="206"/>
      <c r="V156" s="367"/>
      <c r="W156" s="367"/>
      <c r="X156" s="367"/>
      <c r="Y156" s="367"/>
      <c r="Z156" s="367"/>
      <c r="AA156" s="133"/>
      <c r="AB156" s="133"/>
      <c r="AC156" s="133"/>
      <c r="AD156" s="133"/>
    </row>
    <row r="157" spans="1:30">
      <c r="A157" s="371" t="s">
        <v>1029</v>
      </c>
      <c r="B157" s="368" t="s">
        <v>612</v>
      </c>
      <c r="C157" s="370">
        <v>1</v>
      </c>
      <c r="D157" s="141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40"/>
      <c r="P157" s="139"/>
      <c r="Q157" s="139"/>
      <c r="R157" s="139"/>
      <c r="S157" s="139"/>
      <c r="T157" s="139"/>
      <c r="U157" s="206">
        <v>70000</v>
      </c>
      <c r="V157" s="367"/>
      <c r="W157" s="367"/>
      <c r="X157" s="367"/>
      <c r="Y157" s="367"/>
      <c r="Z157" s="367"/>
      <c r="AA157" s="133"/>
      <c r="AB157" s="133"/>
      <c r="AC157" s="133"/>
      <c r="AD157" s="133"/>
    </row>
    <row r="158" spans="1:30" ht="34.5">
      <c r="A158" s="375" t="s">
        <v>618</v>
      </c>
      <c r="B158" s="368" t="s">
        <v>619</v>
      </c>
      <c r="C158" s="369">
        <v>3</v>
      </c>
      <c r="D158" s="140">
        <v>3795</v>
      </c>
      <c r="E158" s="147"/>
      <c r="F158" s="147"/>
      <c r="G158" s="147"/>
      <c r="H158" s="147"/>
      <c r="I158" s="147"/>
      <c r="J158" s="147"/>
      <c r="K158" s="147"/>
      <c r="L158" s="147"/>
      <c r="M158" s="147"/>
      <c r="N158" s="147">
        <v>136620</v>
      </c>
      <c r="O158" s="140"/>
      <c r="P158" s="138"/>
      <c r="Q158" s="139"/>
      <c r="R158" s="139"/>
      <c r="S158" s="139"/>
      <c r="T158" s="139"/>
      <c r="U158" s="206"/>
      <c r="V158" s="367"/>
      <c r="W158" s="367"/>
      <c r="X158" s="367"/>
      <c r="Y158" s="367"/>
      <c r="Z158" s="367"/>
      <c r="AA158" s="133"/>
      <c r="AB158" s="133"/>
      <c r="AC158" s="133"/>
      <c r="AD158" s="133"/>
    </row>
    <row r="159" spans="1:30" ht="23.25">
      <c r="A159" s="375" t="s">
        <v>620</v>
      </c>
      <c r="B159" s="368" t="s">
        <v>619</v>
      </c>
      <c r="C159" s="369">
        <v>1</v>
      </c>
      <c r="D159" s="140">
        <v>12650</v>
      </c>
      <c r="E159" s="147"/>
      <c r="F159" s="147"/>
      <c r="G159" s="147"/>
      <c r="H159" s="147"/>
      <c r="I159" s="147"/>
      <c r="J159" s="147"/>
      <c r="K159" s="147"/>
      <c r="L159" s="147"/>
      <c r="M159" s="147"/>
      <c r="N159" s="147">
        <v>151800</v>
      </c>
      <c r="O159" s="140"/>
      <c r="P159" s="138"/>
      <c r="Q159" s="139"/>
      <c r="R159" s="203"/>
      <c r="S159" s="203"/>
      <c r="T159" s="203"/>
      <c r="U159" s="206"/>
      <c r="V159" s="367"/>
      <c r="W159" s="367"/>
      <c r="X159" s="367"/>
      <c r="Y159" s="367"/>
      <c r="Z159" s="367"/>
      <c r="AA159" s="133"/>
      <c r="AB159" s="133"/>
      <c r="AC159" s="133"/>
      <c r="AD159" s="133"/>
    </row>
    <row r="160" spans="1:30" ht="23.25">
      <c r="A160" s="375" t="s">
        <v>621</v>
      </c>
      <c r="B160" s="368" t="s">
        <v>619</v>
      </c>
      <c r="C160" s="369">
        <v>1</v>
      </c>
      <c r="D160" s="140">
        <v>11500</v>
      </c>
      <c r="E160" s="147"/>
      <c r="F160" s="147"/>
      <c r="G160" s="147"/>
      <c r="H160" s="147"/>
      <c r="I160" s="147"/>
      <c r="J160" s="147"/>
      <c r="K160" s="147"/>
      <c r="L160" s="147"/>
      <c r="M160" s="147"/>
      <c r="N160" s="147">
        <v>138000</v>
      </c>
      <c r="O160" s="140"/>
      <c r="P160" s="138"/>
      <c r="Q160" s="139"/>
      <c r="R160" s="203"/>
      <c r="S160" s="203"/>
      <c r="T160" s="203"/>
      <c r="U160" s="206"/>
      <c r="V160" s="367"/>
      <c r="W160" s="367"/>
      <c r="X160" s="367"/>
      <c r="Y160" s="367"/>
      <c r="Z160" s="367"/>
      <c r="AA160" s="133"/>
      <c r="AB160" s="133"/>
      <c r="AC160" s="133"/>
      <c r="AD160" s="133"/>
    </row>
    <row r="161" spans="1:30" ht="23.25">
      <c r="A161" s="375" t="s">
        <v>622</v>
      </c>
      <c r="B161" s="368" t="s">
        <v>619</v>
      </c>
      <c r="C161" s="369">
        <v>1</v>
      </c>
      <c r="D161" s="140">
        <v>5000</v>
      </c>
      <c r="E161" s="147"/>
      <c r="F161" s="147"/>
      <c r="G161" s="147"/>
      <c r="H161" s="147"/>
      <c r="I161" s="147"/>
      <c r="J161" s="147"/>
      <c r="K161" s="147"/>
      <c r="L161" s="147"/>
      <c r="M161" s="147"/>
      <c r="N161" s="147">
        <v>60000</v>
      </c>
      <c r="O161" s="140"/>
      <c r="P161" s="138"/>
      <c r="Q161" s="139"/>
      <c r="R161" s="203"/>
      <c r="S161" s="203"/>
      <c r="T161" s="203"/>
      <c r="U161" s="206"/>
      <c r="V161" s="367"/>
      <c r="W161" s="367"/>
      <c r="X161" s="367"/>
      <c r="Y161" s="367"/>
      <c r="Z161" s="367"/>
      <c r="AA161" s="133"/>
      <c r="AB161" s="133"/>
      <c r="AC161" s="133"/>
      <c r="AD161" s="133"/>
    </row>
    <row r="162" spans="1:30" ht="23.25">
      <c r="A162" s="375" t="s">
        <v>623</v>
      </c>
      <c r="B162" s="368" t="s">
        <v>619</v>
      </c>
      <c r="C162" s="369">
        <v>1</v>
      </c>
      <c r="D162" s="140">
        <v>4500</v>
      </c>
      <c r="E162" s="147"/>
      <c r="F162" s="147"/>
      <c r="G162" s="147"/>
      <c r="H162" s="147"/>
      <c r="I162" s="147"/>
      <c r="J162" s="147"/>
      <c r="K162" s="147"/>
      <c r="L162" s="147"/>
      <c r="M162" s="147"/>
      <c r="N162" s="147">
        <v>54000</v>
      </c>
      <c r="O162" s="140"/>
      <c r="P162" s="138"/>
      <c r="Q162" s="139"/>
      <c r="R162" s="203"/>
      <c r="S162" s="203"/>
      <c r="T162" s="203"/>
      <c r="U162" s="206"/>
      <c r="V162" s="367"/>
      <c r="W162" s="367"/>
      <c r="X162" s="367"/>
      <c r="Y162" s="367"/>
      <c r="Z162" s="367"/>
      <c r="AA162" s="133"/>
      <c r="AB162" s="133"/>
      <c r="AC162" s="133"/>
      <c r="AD162" s="133"/>
    </row>
    <row r="163" spans="1:30" ht="23.25">
      <c r="A163" s="375" t="s">
        <v>624</v>
      </c>
      <c r="B163" s="368" t="s">
        <v>619</v>
      </c>
      <c r="C163" s="369">
        <v>2</v>
      </c>
      <c r="D163" s="140">
        <v>11500</v>
      </c>
      <c r="E163" s="147"/>
      <c r="F163" s="147"/>
      <c r="G163" s="147"/>
      <c r="H163" s="147"/>
      <c r="I163" s="147"/>
      <c r="J163" s="147"/>
      <c r="K163" s="147"/>
      <c r="L163" s="147"/>
      <c r="M163" s="147"/>
      <c r="N163" s="147">
        <v>276000</v>
      </c>
      <c r="O163" s="140"/>
      <c r="P163" s="138"/>
      <c r="Q163" s="139"/>
      <c r="R163" s="203"/>
      <c r="S163" s="203"/>
      <c r="T163" s="203"/>
      <c r="U163" s="206"/>
      <c r="V163" s="367"/>
      <c r="W163" s="367"/>
      <c r="X163" s="367"/>
      <c r="Y163" s="367"/>
      <c r="Z163" s="367"/>
      <c r="AA163" s="133"/>
      <c r="AB163" s="133"/>
      <c r="AC163" s="133"/>
      <c r="AD163" s="133"/>
    </row>
    <row r="164" spans="1:30" ht="34.5">
      <c r="A164" s="375" t="s">
        <v>625</v>
      </c>
      <c r="B164" s="368" t="s">
        <v>619</v>
      </c>
      <c r="C164" s="369">
        <v>1</v>
      </c>
      <c r="D164" s="140">
        <v>11500</v>
      </c>
      <c r="E164" s="147"/>
      <c r="F164" s="147"/>
      <c r="G164" s="147"/>
      <c r="H164" s="147"/>
      <c r="I164" s="147"/>
      <c r="J164" s="147"/>
      <c r="K164" s="147"/>
      <c r="L164" s="147"/>
      <c r="M164" s="147"/>
      <c r="N164" s="147">
        <v>138000</v>
      </c>
      <c r="O164" s="140"/>
      <c r="P164" s="138"/>
      <c r="Q164" s="139"/>
      <c r="R164" s="203"/>
      <c r="S164" s="203"/>
      <c r="T164" s="203"/>
      <c r="U164" s="206"/>
      <c r="V164" s="367"/>
      <c r="W164" s="367"/>
      <c r="X164" s="367"/>
      <c r="Y164" s="367"/>
      <c r="Z164" s="367"/>
      <c r="AA164" s="133"/>
      <c r="AB164" s="133"/>
      <c r="AC164" s="133"/>
      <c r="AD164" s="133"/>
    </row>
    <row r="165" spans="1:30" ht="23.25">
      <c r="A165" s="375" t="s">
        <v>626</v>
      </c>
      <c r="B165" s="368" t="s">
        <v>619</v>
      </c>
      <c r="C165" s="369">
        <v>1</v>
      </c>
      <c r="D165" s="140">
        <v>3795</v>
      </c>
      <c r="E165" s="147"/>
      <c r="F165" s="147"/>
      <c r="G165" s="147"/>
      <c r="H165" s="147"/>
      <c r="I165" s="147"/>
      <c r="J165" s="147"/>
      <c r="K165" s="147"/>
      <c r="L165" s="147"/>
      <c r="M165" s="147"/>
      <c r="N165" s="147">
        <v>45540</v>
      </c>
      <c r="O165" s="140"/>
      <c r="P165" s="138"/>
      <c r="Q165" s="139"/>
      <c r="R165" s="203"/>
      <c r="S165" s="203"/>
      <c r="T165" s="203"/>
      <c r="U165" s="206"/>
      <c r="V165" s="367"/>
      <c r="W165" s="367"/>
      <c r="X165" s="367"/>
      <c r="Y165" s="367"/>
      <c r="Z165" s="367"/>
      <c r="AA165" s="133"/>
      <c r="AB165" s="133"/>
      <c r="AC165" s="133"/>
      <c r="AD165" s="133"/>
    </row>
    <row r="166" spans="1:30" ht="23.25">
      <c r="A166" s="375" t="s">
        <v>627</v>
      </c>
      <c r="B166" s="368" t="s">
        <v>619</v>
      </c>
      <c r="C166" s="369">
        <v>2</v>
      </c>
      <c r="D166" s="140">
        <v>5000</v>
      </c>
      <c r="E166" s="147"/>
      <c r="F166" s="147"/>
      <c r="G166" s="147"/>
      <c r="H166" s="147"/>
      <c r="I166" s="147"/>
      <c r="J166" s="147"/>
      <c r="K166" s="147"/>
      <c r="L166" s="147"/>
      <c r="M166" s="147"/>
      <c r="N166" s="147">
        <v>120000</v>
      </c>
      <c r="O166" s="140"/>
      <c r="P166" s="138"/>
      <c r="Q166" s="139"/>
      <c r="R166" s="203"/>
      <c r="S166" s="203"/>
      <c r="T166" s="203"/>
      <c r="U166" s="206"/>
      <c r="V166" s="367"/>
      <c r="W166" s="367"/>
      <c r="X166" s="367"/>
      <c r="Y166" s="367"/>
      <c r="Z166" s="367"/>
      <c r="AA166" s="133"/>
      <c r="AB166" s="133"/>
      <c r="AC166" s="133"/>
      <c r="AD166" s="133"/>
    </row>
    <row r="167" spans="1:30" ht="23.25">
      <c r="A167" s="375" t="s">
        <v>628</v>
      </c>
      <c r="B167" s="368" t="s">
        <v>619</v>
      </c>
      <c r="C167" s="369">
        <v>1</v>
      </c>
      <c r="D167" s="140">
        <v>3795</v>
      </c>
      <c r="E167" s="147"/>
      <c r="F167" s="147"/>
      <c r="G167" s="147"/>
      <c r="H167" s="147"/>
      <c r="I167" s="147"/>
      <c r="J167" s="147"/>
      <c r="K167" s="147"/>
      <c r="L167" s="147"/>
      <c r="M167" s="147"/>
      <c r="N167" s="147">
        <v>45540</v>
      </c>
      <c r="O167" s="140"/>
      <c r="P167" s="138"/>
      <c r="Q167" s="139"/>
      <c r="R167" s="203"/>
      <c r="S167" s="203"/>
      <c r="T167" s="203"/>
      <c r="U167" s="206"/>
      <c r="V167" s="367"/>
      <c r="W167" s="367"/>
      <c r="X167" s="367"/>
      <c r="Y167" s="367"/>
      <c r="Z167" s="367"/>
      <c r="AA167" s="133"/>
      <c r="AB167" s="133"/>
      <c r="AC167" s="133"/>
      <c r="AD167" s="133"/>
    </row>
    <row r="168" spans="1:30" ht="34.5">
      <c r="A168" s="375" t="s">
        <v>629</v>
      </c>
      <c r="B168" s="368" t="s">
        <v>619</v>
      </c>
      <c r="C168" s="369">
        <v>1</v>
      </c>
      <c r="D168" s="140">
        <v>6900</v>
      </c>
      <c r="E168" s="147"/>
      <c r="F168" s="147"/>
      <c r="G168" s="147"/>
      <c r="H168" s="147"/>
      <c r="I168" s="147"/>
      <c r="J168" s="147"/>
      <c r="K168" s="147"/>
      <c r="L168" s="147"/>
      <c r="M168" s="147"/>
      <c r="N168" s="147">
        <v>82800</v>
      </c>
      <c r="O168" s="140"/>
      <c r="P168" s="138"/>
      <c r="Q168" s="139"/>
      <c r="R168" s="203"/>
      <c r="S168" s="203"/>
      <c r="T168" s="203"/>
      <c r="U168" s="206"/>
      <c r="V168" s="367"/>
      <c r="W168" s="367"/>
      <c r="X168" s="367"/>
      <c r="Y168" s="367"/>
      <c r="Z168" s="367"/>
      <c r="AA168" s="133"/>
      <c r="AB168" s="133"/>
      <c r="AC168" s="133"/>
      <c r="AD168" s="133"/>
    </row>
    <row r="169" spans="1:30" ht="23.25">
      <c r="A169" s="375" t="s">
        <v>630</v>
      </c>
      <c r="B169" s="368" t="s">
        <v>619</v>
      </c>
      <c r="C169" s="369">
        <v>1</v>
      </c>
      <c r="D169" s="140">
        <v>5520</v>
      </c>
      <c r="E169" s="147"/>
      <c r="F169" s="147"/>
      <c r="G169" s="147"/>
      <c r="H169" s="147"/>
      <c r="I169" s="147"/>
      <c r="J169" s="147"/>
      <c r="K169" s="147"/>
      <c r="L169" s="147"/>
      <c r="M169" s="147"/>
      <c r="N169" s="147">
        <v>66240</v>
      </c>
      <c r="O169" s="140"/>
      <c r="P169" s="138"/>
      <c r="Q169" s="139"/>
      <c r="R169" s="203"/>
      <c r="S169" s="203"/>
      <c r="T169" s="203"/>
      <c r="U169" s="206"/>
      <c r="V169" s="367"/>
      <c r="W169" s="367"/>
      <c r="X169" s="367"/>
      <c r="Y169" s="367"/>
      <c r="Z169" s="367"/>
      <c r="AA169" s="133"/>
      <c r="AB169" s="133"/>
      <c r="AC169" s="133"/>
      <c r="AD169" s="133"/>
    </row>
    <row r="170" spans="1:30">
      <c r="A170" s="3" t="s">
        <v>642</v>
      </c>
      <c r="B170" s="368" t="s">
        <v>619</v>
      </c>
      <c r="C170" s="369">
        <v>1</v>
      </c>
      <c r="D170" s="140">
        <v>72.540000000000006</v>
      </c>
      <c r="E170" s="147"/>
      <c r="F170" s="147"/>
      <c r="G170" s="147"/>
      <c r="H170" s="147"/>
      <c r="I170" s="147"/>
      <c r="J170" s="147"/>
      <c r="K170" s="147"/>
      <c r="L170" s="147"/>
      <c r="M170" s="147"/>
      <c r="N170" s="147"/>
      <c r="O170" s="140">
        <v>26477.1</v>
      </c>
      <c r="P170" s="138"/>
      <c r="Q170" s="139">
        <f>3000+3810.6</f>
        <v>6810.6</v>
      </c>
      <c r="R170" s="203">
        <f>+(O170+3810.6)/12</f>
        <v>2523.9749999999999</v>
      </c>
      <c r="S170" s="203">
        <f>+R170</f>
        <v>2523.9749999999999</v>
      </c>
      <c r="T170" s="203">
        <v>200</v>
      </c>
      <c r="U170" s="206"/>
      <c r="V170" s="367"/>
      <c r="W170" s="367"/>
      <c r="X170" s="367"/>
      <c r="Y170" s="367"/>
      <c r="Z170" s="367"/>
      <c r="AA170" s="133"/>
      <c r="AB170" s="133"/>
      <c r="AC170" s="133"/>
      <c r="AD170" s="133"/>
    </row>
    <row r="171" spans="1:30" ht="22.5">
      <c r="A171" s="3" t="s">
        <v>926</v>
      </c>
      <c r="B171" s="368" t="s">
        <v>619</v>
      </c>
      <c r="C171" s="369">
        <v>3</v>
      </c>
      <c r="D171" s="140">
        <v>78.25</v>
      </c>
      <c r="E171" s="147"/>
      <c r="F171" s="147"/>
      <c r="G171" s="147"/>
      <c r="H171" s="147"/>
      <c r="I171" s="147"/>
      <c r="J171" s="147"/>
      <c r="K171" s="147"/>
      <c r="L171" s="147"/>
      <c r="M171" s="147"/>
      <c r="N171" s="147"/>
      <c r="O171" s="140">
        <v>85683.75</v>
      </c>
      <c r="P171" s="138">
        <v>420</v>
      </c>
      <c r="Q171" s="139">
        <f>9000+11431.8</f>
        <v>20431.8</v>
      </c>
      <c r="R171" s="203">
        <f>+(O171+11431.8)/12</f>
        <v>8092.9625000000005</v>
      </c>
      <c r="S171" s="203">
        <f t="shared" ref="S171:S234" si="7">+R171</f>
        <v>8092.9625000000005</v>
      </c>
      <c r="T171" s="203">
        <v>600</v>
      </c>
      <c r="U171" s="206"/>
      <c r="V171" s="367"/>
      <c r="W171" s="367"/>
      <c r="X171" s="367"/>
      <c r="Y171" s="367"/>
      <c r="Z171" s="367"/>
      <c r="AA171" s="133"/>
      <c r="AB171" s="133"/>
      <c r="AC171" s="133"/>
      <c r="AD171" s="133"/>
    </row>
    <row r="172" spans="1:30">
      <c r="A172" s="3" t="s">
        <v>643</v>
      </c>
      <c r="B172" s="368" t="s">
        <v>619</v>
      </c>
      <c r="C172" s="370">
        <v>2</v>
      </c>
      <c r="D172" s="141">
        <v>73.59</v>
      </c>
      <c r="E172" s="147"/>
      <c r="F172" s="147"/>
      <c r="G172" s="147"/>
      <c r="H172" s="147"/>
      <c r="I172" s="147"/>
      <c r="J172" s="147"/>
      <c r="K172" s="147"/>
      <c r="L172" s="147"/>
      <c r="M172" s="147"/>
      <c r="N172" s="147"/>
      <c r="O172" s="140">
        <v>53720.7</v>
      </c>
      <c r="P172" s="138"/>
      <c r="Q172" s="139">
        <f>6000+7621.2</f>
        <v>13621.2</v>
      </c>
      <c r="R172" s="203">
        <f>+(O172+7621.2)/12</f>
        <v>5111.8249999999998</v>
      </c>
      <c r="S172" s="203">
        <f t="shared" si="7"/>
        <v>5111.8249999999998</v>
      </c>
      <c r="T172" s="203">
        <v>400</v>
      </c>
      <c r="U172" s="206"/>
      <c r="V172" s="367"/>
      <c r="W172" s="367"/>
      <c r="X172" s="367"/>
      <c r="Y172" s="367"/>
      <c r="Z172" s="367"/>
      <c r="AA172" s="133"/>
      <c r="AB172" s="133"/>
      <c r="AC172" s="133"/>
      <c r="AD172" s="133"/>
    </row>
    <row r="173" spans="1:30" ht="22.5">
      <c r="A173" s="3" t="s">
        <v>637</v>
      </c>
      <c r="B173" s="368" t="s">
        <v>619</v>
      </c>
      <c r="C173" s="369">
        <v>8</v>
      </c>
      <c r="D173" s="140">
        <v>73.59</v>
      </c>
      <c r="E173" s="147"/>
      <c r="F173" s="147"/>
      <c r="G173" s="147"/>
      <c r="H173" s="147"/>
      <c r="I173" s="147"/>
      <c r="J173" s="147"/>
      <c r="K173" s="147"/>
      <c r="L173" s="147"/>
      <c r="M173" s="147"/>
      <c r="N173" s="147"/>
      <c r="O173" s="140">
        <v>214882.8</v>
      </c>
      <c r="P173" s="138">
        <v>450</v>
      </c>
      <c r="Q173" s="139">
        <f>24000+30484.8+3.81</f>
        <v>54488.61</v>
      </c>
      <c r="R173" s="203">
        <f>+(O173+30484.8)/12</f>
        <v>20447.3</v>
      </c>
      <c r="S173" s="203">
        <f t="shared" si="7"/>
        <v>20447.3</v>
      </c>
      <c r="T173" s="203">
        <v>1600</v>
      </c>
      <c r="U173" s="206"/>
      <c r="V173" s="367"/>
      <c r="W173" s="367"/>
      <c r="X173" s="367"/>
      <c r="Y173" s="367"/>
      <c r="Z173" s="367"/>
      <c r="AA173" s="133"/>
      <c r="AB173" s="133"/>
      <c r="AC173" s="133"/>
      <c r="AD173" s="133"/>
    </row>
    <row r="174" spans="1:30">
      <c r="A174" s="3" t="s">
        <v>638</v>
      </c>
      <c r="B174" s="368" t="s">
        <v>619</v>
      </c>
      <c r="C174" s="369">
        <v>1</v>
      </c>
      <c r="D174" s="140">
        <v>71.400000000000006</v>
      </c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0">
        <v>26061</v>
      </c>
      <c r="P174" s="138"/>
      <c r="Q174" s="139">
        <f>3000+3810.6</f>
        <v>6810.6</v>
      </c>
      <c r="R174" s="203">
        <f>+(O174+3810.6)/12</f>
        <v>2489.2999999999997</v>
      </c>
      <c r="S174" s="203">
        <f t="shared" si="7"/>
        <v>2489.2999999999997</v>
      </c>
      <c r="T174" s="203">
        <v>200</v>
      </c>
      <c r="U174" s="206"/>
      <c r="V174" s="367"/>
      <c r="W174" s="367"/>
      <c r="X174" s="367"/>
      <c r="Y174" s="367"/>
      <c r="Z174" s="367"/>
      <c r="AA174" s="133"/>
      <c r="AB174" s="133"/>
      <c r="AC174" s="133"/>
      <c r="AD174" s="133"/>
    </row>
    <row r="175" spans="1:30">
      <c r="A175" s="3" t="s">
        <v>639</v>
      </c>
      <c r="B175" s="368" t="s">
        <v>619</v>
      </c>
      <c r="C175" s="369">
        <v>4</v>
      </c>
      <c r="D175" s="140">
        <v>72.540000000000006</v>
      </c>
      <c r="E175" s="147"/>
      <c r="F175" s="147"/>
      <c r="G175" s="147"/>
      <c r="H175" s="147"/>
      <c r="I175" s="147"/>
      <c r="J175" s="147"/>
      <c r="K175" s="147"/>
      <c r="L175" s="147"/>
      <c r="M175" s="147"/>
      <c r="N175" s="147"/>
      <c r="O175" s="140">
        <v>105908.4</v>
      </c>
      <c r="P175" s="138"/>
      <c r="Q175" s="139">
        <f>3000+15242.4</f>
        <v>18242.400000000001</v>
      </c>
      <c r="R175" s="203">
        <f>+(O175+15242.4)/12</f>
        <v>10095.9</v>
      </c>
      <c r="S175" s="203">
        <f t="shared" si="7"/>
        <v>10095.9</v>
      </c>
      <c r="T175" s="203">
        <v>800</v>
      </c>
      <c r="U175" s="206"/>
      <c r="V175" s="367"/>
      <c r="W175" s="367"/>
      <c r="X175" s="367"/>
      <c r="Y175" s="367"/>
      <c r="Z175" s="367"/>
      <c r="AA175" s="133"/>
      <c r="AB175" s="133"/>
      <c r="AC175" s="133"/>
      <c r="AD175" s="133"/>
    </row>
    <row r="176" spans="1:30">
      <c r="A176" s="3" t="s">
        <v>640</v>
      </c>
      <c r="B176" s="368" t="s">
        <v>619</v>
      </c>
      <c r="C176" s="370">
        <v>1</v>
      </c>
      <c r="D176" s="140">
        <v>72.540000000000006</v>
      </c>
      <c r="E176" s="147"/>
      <c r="F176" s="147"/>
      <c r="G176" s="147"/>
      <c r="H176" s="147"/>
      <c r="I176" s="147"/>
      <c r="J176" s="147"/>
      <c r="K176" s="147"/>
      <c r="L176" s="147"/>
      <c r="M176" s="147"/>
      <c r="N176" s="147"/>
      <c r="O176" s="140">
        <v>26477.1</v>
      </c>
      <c r="P176" s="138"/>
      <c r="Q176" s="139">
        <f>3000+3810.6</f>
        <v>6810.6</v>
      </c>
      <c r="R176" s="203">
        <f>+(O176+3810.6)/12</f>
        <v>2523.9749999999999</v>
      </c>
      <c r="S176" s="203">
        <f t="shared" si="7"/>
        <v>2523.9749999999999</v>
      </c>
      <c r="T176" s="203">
        <v>200</v>
      </c>
      <c r="U176" s="206"/>
      <c r="V176" s="367"/>
      <c r="W176" s="367"/>
      <c r="X176" s="367"/>
      <c r="Y176" s="367"/>
      <c r="Z176" s="367"/>
      <c r="AA176" s="133"/>
      <c r="AB176" s="133"/>
      <c r="AC176" s="133"/>
      <c r="AD176" s="133"/>
    </row>
    <row r="177" spans="1:30">
      <c r="A177" s="3" t="s">
        <v>644</v>
      </c>
      <c r="B177" s="368" t="s">
        <v>619</v>
      </c>
      <c r="C177" s="370">
        <v>1</v>
      </c>
      <c r="D177" s="141">
        <v>72.540000000000006</v>
      </c>
      <c r="E177" s="147"/>
      <c r="F177" s="147"/>
      <c r="G177" s="147"/>
      <c r="H177" s="147"/>
      <c r="I177" s="147"/>
      <c r="J177" s="147"/>
      <c r="K177" s="147"/>
      <c r="L177" s="147"/>
      <c r="M177" s="147"/>
      <c r="N177" s="147"/>
      <c r="O177" s="140">
        <v>26477.1</v>
      </c>
      <c r="P177" s="138"/>
      <c r="Q177" s="139">
        <f>3000+3810.6</f>
        <v>6810.6</v>
      </c>
      <c r="R177" s="203">
        <f>+(O177+3810.6)/12</f>
        <v>2523.9749999999999</v>
      </c>
      <c r="S177" s="203">
        <f t="shared" si="7"/>
        <v>2523.9749999999999</v>
      </c>
      <c r="T177" s="203">
        <v>200</v>
      </c>
      <c r="U177" s="206"/>
      <c r="V177" s="367"/>
      <c r="W177" s="367"/>
      <c r="X177" s="367"/>
      <c r="Y177" s="367"/>
      <c r="Z177" s="367"/>
      <c r="AA177" s="133"/>
      <c r="AB177" s="133"/>
      <c r="AC177" s="133"/>
      <c r="AD177" s="133"/>
    </row>
    <row r="178" spans="1:30" ht="22.5">
      <c r="A178" s="3" t="s">
        <v>923</v>
      </c>
      <c r="B178" s="368" t="s">
        <v>619</v>
      </c>
      <c r="C178" s="370">
        <v>1</v>
      </c>
      <c r="D178" s="141">
        <v>72.540000000000006</v>
      </c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0">
        <v>26477.1</v>
      </c>
      <c r="P178" s="138"/>
      <c r="Q178" s="139">
        <f>3000+3810.6</f>
        <v>6810.6</v>
      </c>
      <c r="R178" s="203">
        <f>+(O178+3810.6)/12</f>
        <v>2523.9749999999999</v>
      </c>
      <c r="S178" s="203">
        <f t="shared" si="7"/>
        <v>2523.9749999999999</v>
      </c>
      <c r="T178" s="203">
        <v>200</v>
      </c>
      <c r="U178" s="206"/>
      <c r="V178" s="367"/>
      <c r="W178" s="367"/>
      <c r="X178" s="367"/>
      <c r="Y178" s="367"/>
      <c r="Z178" s="367"/>
      <c r="AA178" s="133"/>
      <c r="AB178" s="133"/>
      <c r="AC178" s="133"/>
      <c r="AD178" s="133"/>
    </row>
    <row r="179" spans="1:30" ht="22.5">
      <c r="A179" s="3" t="s">
        <v>923</v>
      </c>
      <c r="B179" s="368" t="s">
        <v>619</v>
      </c>
      <c r="C179" s="370">
        <v>1</v>
      </c>
      <c r="D179" s="141">
        <v>36.270000000000003</v>
      </c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0">
        <v>13238.55</v>
      </c>
      <c r="P179" s="138"/>
      <c r="Q179" s="139">
        <f>1500+1905.3</f>
        <v>3405.3</v>
      </c>
      <c r="R179" s="203">
        <f>+(O179+1905.03)/12</f>
        <v>1261.9649999999999</v>
      </c>
      <c r="S179" s="203">
        <f t="shared" si="7"/>
        <v>1261.9649999999999</v>
      </c>
      <c r="T179" s="203">
        <v>100</v>
      </c>
      <c r="U179" s="206"/>
      <c r="V179" s="367"/>
      <c r="W179" s="367"/>
      <c r="X179" s="367"/>
      <c r="Y179" s="367"/>
      <c r="Z179" s="367"/>
      <c r="AA179" s="133"/>
      <c r="AB179" s="133"/>
      <c r="AC179" s="133"/>
      <c r="AD179" s="133"/>
    </row>
    <row r="180" spans="1:30" ht="22.5">
      <c r="A180" s="3" t="s">
        <v>923</v>
      </c>
      <c r="B180" s="368" t="s">
        <v>619</v>
      </c>
      <c r="C180" s="370">
        <v>1</v>
      </c>
      <c r="D180" s="141">
        <v>36.270000000000003</v>
      </c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0">
        <v>13238.55</v>
      </c>
      <c r="P180" s="138"/>
      <c r="Q180" s="139">
        <f>1500+1905.3</f>
        <v>3405.3</v>
      </c>
      <c r="R180" s="203">
        <f>+(O180+1905.03)/12</f>
        <v>1261.9649999999999</v>
      </c>
      <c r="S180" s="203">
        <f t="shared" si="7"/>
        <v>1261.9649999999999</v>
      </c>
      <c r="T180" s="203">
        <v>100</v>
      </c>
      <c r="U180" s="206"/>
      <c r="V180" s="367"/>
      <c r="W180" s="367"/>
      <c r="X180" s="367"/>
      <c r="Y180" s="367"/>
      <c r="Z180" s="367"/>
      <c r="AA180" s="133"/>
      <c r="AB180" s="133"/>
      <c r="AC180" s="133"/>
      <c r="AD180" s="133"/>
    </row>
    <row r="181" spans="1:30" ht="22.5">
      <c r="A181" s="3" t="s">
        <v>923</v>
      </c>
      <c r="B181" s="368" t="s">
        <v>619</v>
      </c>
      <c r="C181" s="370">
        <v>2</v>
      </c>
      <c r="D181" s="141">
        <v>36.270000000000003</v>
      </c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0">
        <v>26477.1</v>
      </c>
      <c r="P181" s="373">
        <v>600</v>
      </c>
      <c r="Q181" s="139">
        <f>3000+3810.6</f>
        <v>6810.6</v>
      </c>
      <c r="R181" s="203">
        <f>+(O181+3810.6)/12</f>
        <v>2523.9749999999999</v>
      </c>
      <c r="S181" s="203">
        <f t="shared" si="7"/>
        <v>2523.9749999999999</v>
      </c>
      <c r="T181" s="203">
        <v>200</v>
      </c>
      <c r="U181" s="206"/>
      <c r="V181" s="367"/>
      <c r="W181" s="367"/>
      <c r="X181" s="367"/>
      <c r="Y181" s="367"/>
      <c r="Z181" s="367"/>
      <c r="AA181" s="133"/>
      <c r="AB181" s="133"/>
      <c r="AC181" s="133"/>
      <c r="AD181" s="133"/>
    </row>
    <row r="182" spans="1:30" ht="22.5">
      <c r="A182" s="3" t="s">
        <v>923</v>
      </c>
      <c r="B182" s="368" t="s">
        <v>619</v>
      </c>
      <c r="C182" s="370">
        <v>1</v>
      </c>
      <c r="D182" s="141">
        <v>36.270000000000003</v>
      </c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0">
        <v>13238.55</v>
      </c>
      <c r="P182" s="138">
        <v>450</v>
      </c>
      <c r="Q182" s="139">
        <f>1500+1905.3</f>
        <v>3405.3</v>
      </c>
      <c r="R182" s="203">
        <f>+(O182+1905.03)/12</f>
        <v>1261.9649999999999</v>
      </c>
      <c r="S182" s="203">
        <f t="shared" si="7"/>
        <v>1261.9649999999999</v>
      </c>
      <c r="T182" s="203">
        <v>100</v>
      </c>
      <c r="U182" s="206"/>
      <c r="V182" s="367"/>
      <c r="W182" s="367"/>
      <c r="X182" s="367"/>
      <c r="Y182" s="367"/>
      <c r="Z182" s="367"/>
      <c r="AA182" s="133"/>
      <c r="AB182" s="133"/>
      <c r="AC182" s="133"/>
      <c r="AD182" s="133"/>
    </row>
    <row r="183" spans="1:30" ht="22.5">
      <c r="A183" s="3" t="s">
        <v>923</v>
      </c>
      <c r="B183" s="368" t="s">
        <v>619</v>
      </c>
      <c r="C183" s="370">
        <v>1</v>
      </c>
      <c r="D183" s="141">
        <v>72.540000000000006</v>
      </c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0">
        <v>26477.1</v>
      </c>
      <c r="P183" s="373">
        <v>600</v>
      </c>
      <c r="Q183" s="139">
        <f>3000+3810.6</f>
        <v>6810.6</v>
      </c>
      <c r="R183" s="203">
        <f>+(O183+3810.6)/12</f>
        <v>2523.9749999999999</v>
      </c>
      <c r="S183" s="203">
        <f t="shared" si="7"/>
        <v>2523.9749999999999</v>
      </c>
      <c r="T183" s="203">
        <v>200</v>
      </c>
      <c r="U183" s="206"/>
      <c r="V183" s="367"/>
      <c r="W183" s="367"/>
      <c r="X183" s="367"/>
      <c r="Y183" s="367"/>
      <c r="Z183" s="367"/>
      <c r="AA183" s="133"/>
      <c r="AB183" s="133"/>
      <c r="AC183" s="133"/>
      <c r="AD183" s="133"/>
    </row>
    <row r="184" spans="1:30" ht="22.5">
      <c r="A184" s="3" t="s">
        <v>923</v>
      </c>
      <c r="B184" s="368" t="s">
        <v>619</v>
      </c>
      <c r="C184" s="370">
        <v>1</v>
      </c>
      <c r="D184" s="141">
        <v>36.270000000000003</v>
      </c>
      <c r="E184" s="147"/>
      <c r="F184" s="147"/>
      <c r="G184" s="147"/>
      <c r="H184" s="147"/>
      <c r="I184" s="147"/>
      <c r="J184" s="147"/>
      <c r="K184" s="147"/>
      <c r="L184" s="147"/>
      <c r="M184" s="147"/>
      <c r="N184" s="147"/>
      <c r="O184" s="140">
        <v>13238.55</v>
      </c>
      <c r="P184" s="138"/>
      <c r="Q184" s="139">
        <f>1500+1905.3</f>
        <v>3405.3</v>
      </c>
      <c r="R184" s="203">
        <f>+(O184+1905.03)/12</f>
        <v>1261.9649999999999</v>
      </c>
      <c r="S184" s="203">
        <f t="shared" si="7"/>
        <v>1261.9649999999999</v>
      </c>
      <c r="T184" s="203">
        <v>100</v>
      </c>
      <c r="U184" s="206"/>
      <c r="V184" s="367"/>
      <c r="W184" s="367"/>
      <c r="X184" s="367"/>
      <c r="Y184" s="367"/>
      <c r="Z184" s="367"/>
      <c r="AA184" s="133"/>
      <c r="AB184" s="133"/>
      <c r="AC184" s="133"/>
      <c r="AD184" s="133"/>
    </row>
    <row r="185" spans="1:30" ht="22.5">
      <c r="A185" s="3" t="s">
        <v>923</v>
      </c>
      <c r="B185" s="368" t="s">
        <v>619</v>
      </c>
      <c r="C185" s="374">
        <v>1</v>
      </c>
      <c r="D185" s="141">
        <v>72.540000000000006</v>
      </c>
      <c r="E185" s="147"/>
      <c r="F185" s="147"/>
      <c r="G185" s="147"/>
      <c r="H185" s="147"/>
      <c r="I185" s="147"/>
      <c r="J185" s="147"/>
      <c r="K185" s="147"/>
      <c r="L185" s="147"/>
      <c r="M185" s="147"/>
      <c r="N185" s="147"/>
      <c r="O185" s="140">
        <v>26477.1</v>
      </c>
      <c r="P185" s="138"/>
      <c r="Q185" s="139">
        <f>3000+3810.6</f>
        <v>6810.6</v>
      </c>
      <c r="R185" s="203">
        <f>+(O185+3810.6)/12</f>
        <v>2523.9749999999999</v>
      </c>
      <c r="S185" s="203">
        <f t="shared" si="7"/>
        <v>2523.9749999999999</v>
      </c>
      <c r="T185" s="203">
        <v>200</v>
      </c>
      <c r="U185" s="206"/>
      <c r="V185" s="367"/>
      <c r="W185" s="367"/>
      <c r="X185" s="367"/>
      <c r="Y185" s="367"/>
      <c r="Z185" s="367"/>
      <c r="AA185" s="133"/>
      <c r="AB185" s="133"/>
      <c r="AC185" s="133"/>
      <c r="AD185" s="133"/>
    </row>
    <row r="186" spans="1:30" ht="22.5">
      <c r="A186" s="3" t="s">
        <v>923</v>
      </c>
      <c r="B186" s="368" t="s">
        <v>619</v>
      </c>
      <c r="C186" s="370">
        <v>2</v>
      </c>
      <c r="D186" s="141">
        <v>36.270000000000003</v>
      </c>
      <c r="E186" s="147"/>
      <c r="F186" s="147"/>
      <c r="G186" s="147"/>
      <c r="H186" s="147"/>
      <c r="I186" s="147"/>
      <c r="J186" s="147"/>
      <c r="K186" s="147"/>
      <c r="L186" s="147"/>
      <c r="M186" s="147"/>
      <c r="N186" s="147"/>
      <c r="O186" s="140">
        <v>26477.1</v>
      </c>
      <c r="P186" s="138">
        <v>300</v>
      </c>
      <c r="Q186" s="139">
        <f>3000+3810.6</f>
        <v>6810.6</v>
      </c>
      <c r="R186" s="203">
        <f>+(O186+3810.6)/12</f>
        <v>2523.9749999999999</v>
      </c>
      <c r="S186" s="203">
        <f t="shared" si="7"/>
        <v>2523.9749999999999</v>
      </c>
      <c r="T186" s="203">
        <v>200</v>
      </c>
      <c r="U186" s="206"/>
      <c r="V186" s="367"/>
      <c r="W186" s="367"/>
      <c r="X186" s="367"/>
      <c r="Y186" s="367"/>
      <c r="Z186" s="367"/>
      <c r="AA186" s="133"/>
      <c r="AB186" s="133"/>
      <c r="AC186" s="133"/>
      <c r="AD186" s="133"/>
    </row>
    <row r="187" spans="1:30" ht="22.5">
      <c r="A187" s="3" t="s">
        <v>923</v>
      </c>
      <c r="B187" s="368" t="s">
        <v>619</v>
      </c>
      <c r="C187" s="370">
        <v>1</v>
      </c>
      <c r="D187" s="141">
        <v>72.540000000000006</v>
      </c>
      <c r="E187" s="147"/>
      <c r="F187" s="147"/>
      <c r="G187" s="147"/>
      <c r="H187" s="147"/>
      <c r="I187" s="147"/>
      <c r="J187" s="147"/>
      <c r="K187" s="147"/>
      <c r="L187" s="147"/>
      <c r="M187" s="147"/>
      <c r="N187" s="147"/>
      <c r="O187" s="140">
        <v>26477.1</v>
      </c>
      <c r="P187" s="373">
        <v>600</v>
      </c>
      <c r="Q187" s="139">
        <f>3000+3810.6</f>
        <v>6810.6</v>
      </c>
      <c r="R187" s="203">
        <f>+(O187+3810.6)/12</f>
        <v>2523.9749999999999</v>
      </c>
      <c r="S187" s="203">
        <f t="shared" si="7"/>
        <v>2523.9749999999999</v>
      </c>
      <c r="T187" s="203">
        <v>200</v>
      </c>
      <c r="U187" s="206"/>
      <c r="V187" s="367"/>
      <c r="W187" s="367"/>
      <c r="X187" s="367"/>
      <c r="Y187" s="367"/>
      <c r="Z187" s="367"/>
      <c r="AA187" s="133"/>
      <c r="AB187" s="133"/>
      <c r="AC187" s="133"/>
      <c r="AD187" s="133"/>
    </row>
    <row r="188" spans="1:30" ht="22.5">
      <c r="A188" s="3" t="s">
        <v>923</v>
      </c>
      <c r="B188" s="368" t="s">
        <v>619</v>
      </c>
      <c r="C188" s="370">
        <v>1</v>
      </c>
      <c r="D188" s="141">
        <v>36.270000000000003</v>
      </c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0">
        <v>13238.55</v>
      </c>
      <c r="P188" s="138"/>
      <c r="Q188" s="139">
        <f>1500+1905.3</f>
        <v>3405.3</v>
      </c>
      <c r="R188" s="203">
        <f>+(O188+1905.03)/12</f>
        <v>1261.9649999999999</v>
      </c>
      <c r="S188" s="203">
        <f t="shared" si="7"/>
        <v>1261.9649999999999</v>
      </c>
      <c r="T188" s="203">
        <v>100</v>
      </c>
      <c r="U188" s="206"/>
      <c r="V188" s="367"/>
      <c r="W188" s="367"/>
      <c r="X188" s="367"/>
      <c r="Y188" s="367"/>
      <c r="Z188" s="367"/>
      <c r="AA188" s="133"/>
      <c r="AB188" s="133"/>
      <c r="AC188" s="133"/>
      <c r="AD188" s="133"/>
    </row>
    <row r="189" spans="1:30" ht="22.5">
      <c r="A189" s="3" t="s">
        <v>923</v>
      </c>
      <c r="B189" s="368" t="s">
        <v>619</v>
      </c>
      <c r="C189" s="370">
        <v>1</v>
      </c>
      <c r="D189" s="141">
        <v>72.540000000000006</v>
      </c>
      <c r="E189" s="147"/>
      <c r="F189" s="147"/>
      <c r="G189" s="147"/>
      <c r="H189" s="147"/>
      <c r="I189" s="147"/>
      <c r="J189" s="147"/>
      <c r="K189" s="147"/>
      <c r="L189" s="147"/>
      <c r="M189" s="147"/>
      <c r="N189" s="147"/>
      <c r="O189" s="140">
        <v>26477.1</v>
      </c>
      <c r="P189" s="138"/>
      <c r="Q189" s="139">
        <f>3000+3810.6</f>
        <v>6810.6</v>
      </c>
      <c r="R189" s="203">
        <f>+(O189+3810.6)/12</f>
        <v>2523.9749999999999</v>
      </c>
      <c r="S189" s="203">
        <f t="shared" si="7"/>
        <v>2523.9749999999999</v>
      </c>
      <c r="T189" s="203">
        <v>200</v>
      </c>
      <c r="U189" s="206"/>
      <c r="V189" s="367"/>
      <c r="W189" s="367"/>
      <c r="X189" s="367"/>
      <c r="Y189" s="367"/>
      <c r="Z189" s="367"/>
      <c r="AA189" s="133"/>
      <c r="AB189" s="133"/>
      <c r="AC189" s="133"/>
      <c r="AD189" s="133"/>
    </row>
    <row r="190" spans="1:30" ht="22.5">
      <c r="A190" s="3" t="s">
        <v>923</v>
      </c>
      <c r="B190" s="368" t="s">
        <v>619</v>
      </c>
      <c r="C190" s="369">
        <v>1</v>
      </c>
      <c r="D190" s="140">
        <v>36.270000000000003</v>
      </c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0">
        <v>13238.55</v>
      </c>
      <c r="P190" s="138">
        <v>450</v>
      </c>
      <c r="Q190" s="139">
        <f t="shared" ref="Q190:Q195" si="8">1500+1905.3</f>
        <v>3405.3</v>
      </c>
      <c r="R190" s="203">
        <f t="shared" ref="R190:R195" si="9">+(O190+1905.03)/12</f>
        <v>1261.9649999999999</v>
      </c>
      <c r="S190" s="203">
        <f t="shared" si="7"/>
        <v>1261.9649999999999</v>
      </c>
      <c r="T190" s="203">
        <v>100</v>
      </c>
      <c r="U190" s="206"/>
      <c r="V190" s="367"/>
      <c r="W190" s="367"/>
      <c r="X190" s="367"/>
      <c r="Y190" s="367"/>
      <c r="Z190" s="367"/>
      <c r="AA190" s="133"/>
      <c r="AB190" s="133"/>
      <c r="AC190" s="133"/>
      <c r="AD190" s="133"/>
    </row>
    <row r="191" spans="1:30" ht="22.5">
      <c r="A191" s="3" t="s">
        <v>923</v>
      </c>
      <c r="B191" s="368" t="s">
        <v>619</v>
      </c>
      <c r="C191" s="369">
        <v>1</v>
      </c>
      <c r="D191" s="140">
        <v>36.270000000000003</v>
      </c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0">
        <v>13238.55</v>
      </c>
      <c r="P191" s="138"/>
      <c r="Q191" s="139">
        <f t="shared" si="8"/>
        <v>3405.3</v>
      </c>
      <c r="R191" s="203">
        <f t="shared" si="9"/>
        <v>1261.9649999999999</v>
      </c>
      <c r="S191" s="203">
        <f t="shared" si="7"/>
        <v>1261.9649999999999</v>
      </c>
      <c r="T191" s="203">
        <v>100</v>
      </c>
      <c r="U191" s="206"/>
      <c r="V191" s="367"/>
      <c r="W191" s="367"/>
      <c r="X191" s="367"/>
      <c r="Y191" s="367"/>
      <c r="Z191" s="367"/>
      <c r="AA191" s="133"/>
      <c r="AB191" s="133"/>
      <c r="AC191" s="133"/>
      <c r="AD191" s="133"/>
    </row>
    <row r="192" spans="1:30" ht="22.5">
      <c r="A192" s="3" t="s">
        <v>923</v>
      </c>
      <c r="B192" s="368" t="s">
        <v>619</v>
      </c>
      <c r="C192" s="369">
        <v>1</v>
      </c>
      <c r="D192" s="140">
        <v>36.270000000000003</v>
      </c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0">
        <v>13238.55</v>
      </c>
      <c r="P192" s="138"/>
      <c r="Q192" s="139">
        <f t="shared" si="8"/>
        <v>3405.3</v>
      </c>
      <c r="R192" s="203">
        <f t="shared" si="9"/>
        <v>1261.9649999999999</v>
      </c>
      <c r="S192" s="203">
        <f t="shared" si="7"/>
        <v>1261.9649999999999</v>
      </c>
      <c r="T192" s="203">
        <v>100</v>
      </c>
      <c r="U192" s="206"/>
      <c r="V192" s="367"/>
      <c r="W192" s="367"/>
      <c r="X192" s="367"/>
      <c r="Y192" s="367"/>
      <c r="Z192" s="367"/>
      <c r="AA192" s="133"/>
      <c r="AB192" s="133"/>
      <c r="AC192" s="133"/>
      <c r="AD192" s="133"/>
    </row>
    <row r="193" spans="1:30" ht="22.5">
      <c r="A193" s="3" t="s">
        <v>923</v>
      </c>
      <c r="B193" s="368" t="s">
        <v>619</v>
      </c>
      <c r="C193" s="369">
        <v>1</v>
      </c>
      <c r="D193" s="140">
        <v>36.270000000000003</v>
      </c>
      <c r="E193" s="147"/>
      <c r="F193" s="147"/>
      <c r="G193" s="147"/>
      <c r="H193" s="147"/>
      <c r="I193" s="147"/>
      <c r="J193" s="147"/>
      <c r="K193" s="147"/>
      <c r="L193" s="147"/>
      <c r="M193" s="147"/>
      <c r="N193" s="147"/>
      <c r="O193" s="140">
        <v>13238.55</v>
      </c>
      <c r="P193" s="138"/>
      <c r="Q193" s="139">
        <f t="shared" si="8"/>
        <v>3405.3</v>
      </c>
      <c r="R193" s="203">
        <f t="shared" si="9"/>
        <v>1261.9649999999999</v>
      </c>
      <c r="S193" s="203">
        <f t="shared" si="7"/>
        <v>1261.9649999999999</v>
      </c>
      <c r="T193" s="203">
        <v>100</v>
      </c>
      <c r="U193" s="206"/>
      <c r="V193" s="367"/>
      <c r="W193" s="367"/>
      <c r="X193" s="367"/>
      <c r="Y193" s="367"/>
      <c r="Z193" s="367"/>
      <c r="AA193" s="133"/>
      <c r="AB193" s="133"/>
      <c r="AC193" s="133"/>
      <c r="AD193" s="133"/>
    </row>
    <row r="194" spans="1:30" ht="22.5">
      <c r="A194" s="3" t="s">
        <v>923</v>
      </c>
      <c r="B194" s="368" t="s">
        <v>619</v>
      </c>
      <c r="C194" s="369">
        <v>1</v>
      </c>
      <c r="D194" s="140">
        <v>36.270000000000003</v>
      </c>
      <c r="E194" s="147"/>
      <c r="F194" s="147"/>
      <c r="G194" s="147"/>
      <c r="H194" s="147"/>
      <c r="I194" s="147"/>
      <c r="J194" s="147"/>
      <c r="K194" s="147"/>
      <c r="L194" s="147"/>
      <c r="M194" s="147"/>
      <c r="N194" s="147"/>
      <c r="O194" s="140">
        <v>13238.55</v>
      </c>
      <c r="P194" s="138"/>
      <c r="Q194" s="139">
        <f t="shared" si="8"/>
        <v>3405.3</v>
      </c>
      <c r="R194" s="203">
        <f t="shared" si="9"/>
        <v>1261.9649999999999</v>
      </c>
      <c r="S194" s="203">
        <f t="shared" si="7"/>
        <v>1261.9649999999999</v>
      </c>
      <c r="T194" s="203">
        <v>100</v>
      </c>
      <c r="U194" s="206"/>
      <c r="V194" s="367"/>
      <c r="W194" s="367"/>
      <c r="X194" s="367"/>
      <c r="Y194" s="367"/>
      <c r="Z194" s="367"/>
      <c r="AA194" s="133"/>
      <c r="AB194" s="133"/>
      <c r="AC194" s="133"/>
      <c r="AD194" s="133"/>
    </row>
    <row r="195" spans="1:30" ht="22.5">
      <c r="A195" s="3" t="s">
        <v>923</v>
      </c>
      <c r="B195" s="368" t="s">
        <v>619</v>
      </c>
      <c r="C195" s="370">
        <v>1</v>
      </c>
      <c r="D195" s="140">
        <v>36.270000000000003</v>
      </c>
      <c r="E195" s="147"/>
      <c r="F195" s="147"/>
      <c r="G195" s="147"/>
      <c r="H195" s="147"/>
      <c r="I195" s="147"/>
      <c r="J195" s="147"/>
      <c r="K195" s="147"/>
      <c r="L195" s="147"/>
      <c r="M195" s="147"/>
      <c r="N195" s="147"/>
      <c r="O195" s="140">
        <v>13238.55</v>
      </c>
      <c r="P195" s="138"/>
      <c r="Q195" s="139">
        <f t="shared" si="8"/>
        <v>3405.3</v>
      </c>
      <c r="R195" s="203">
        <f t="shared" si="9"/>
        <v>1261.9649999999999</v>
      </c>
      <c r="S195" s="203">
        <f t="shared" si="7"/>
        <v>1261.9649999999999</v>
      </c>
      <c r="T195" s="203">
        <v>100</v>
      </c>
      <c r="U195" s="206"/>
      <c r="V195" s="367"/>
      <c r="W195" s="367"/>
      <c r="X195" s="367"/>
      <c r="Y195" s="367"/>
      <c r="Z195" s="367"/>
      <c r="AA195" s="133"/>
      <c r="AB195" s="133"/>
      <c r="AC195" s="133"/>
      <c r="AD195" s="133"/>
    </row>
    <row r="196" spans="1:30" ht="22.5">
      <c r="A196" s="3" t="s">
        <v>923</v>
      </c>
      <c r="B196" s="368" t="s">
        <v>619</v>
      </c>
      <c r="C196" s="370">
        <v>1</v>
      </c>
      <c r="D196" s="140">
        <v>72.540000000000006</v>
      </c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0">
        <v>26477.1</v>
      </c>
      <c r="P196" s="138"/>
      <c r="Q196" s="139">
        <f>3000+3810.6</f>
        <v>6810.6</v>
      </c>
      <c r="R196" s="203">
        <f>+(O196+3810.6)/12</f>
        <v>2523.9749999999999</v>
      </c>
      <c r="S196" s="203">
        <f t="shared" si="7"/>
        <v>2523.9749999999999</v>
      </c>
      <c r="T196" s="203">
        <v>200</v>
      </c>
      <c r="U196" s="206"/>
      <c r="V196" s="367"/>
      <c r="W196" s="367"/>
      <c r="X196" s="367"/>
      <c r="Y196" s="367"/>
      <c r="Z196" s="367"/>
      <c r="AA196" s="133"/>
      <c r="AB196" s="133"/>
      <c r="AC196" s="133"/>
      <c r="AD196" s="133"/>
    </row>
    <row r="197" spans="1:30" ht="22.5">
      <c r="A197" s="3" t="s">
        <v>923</v>
      </c>
      <c r="B197" s="368" t="s">
        <v>619</v>
      </c>
      <c r="C197" s="370">
        <v>1</v>
      </c>
      <c r="D197" s="140">
        <v>36.270000000000003</v>
      </c>
      <c r="E197" s="147"/>
      <c r="F197" s="147"/>
      <c r="G197" s="147"/>
      <c r="H197" s="147"/>
      <c r="I197" s="147"/>
      <c r="J197" s="147"/>
      <c r="K197" s="147"/>
      <c r="L197" s="147"/>
      <c r="M197" s="147"/>
      <c r="N197" s="147"/>
      <c r="O197" s="140">
        <v>13238.55</v>
      </c>
      <c r="P197" s="138"/>
      <c r="Q197" s="139">
        <f t="shared" ref="Q197:Q202" si="10">1500+1905.3</f>
        <v>3405.3</v>
      </c>
      <c r="R197" s="203">
        <f t="shared" ref="R197:R202" si="11">+(O197+1905.03)/12</f>
        <v>1261.9649999999999</v>
      </c>
      <c r="S197" s="203">
        <f t="shared" si="7"/>
        <v>1261.9649999999999</v>
      </c>
      <c r="T197" s="203">
        <v>100</v>
      </c>
      <c r="U197" s="206"/>
      <c r="V197" s="367"/>
      <c r="W197" s="367"/>
      <c r="X197" s="367"/>
      <c r="Y197" s="367"/>
      <c r="Z197" s="367"/>
      <c r="AA197" s="133"/>
      <c r="AB197" s="133"/>
      <c r="AC197" s="133"/>
      <c r="AD197" s="133"/>
    </row>
    <row r="198" spans="1:30" ht="22.5">
      <c r="A198" s="3" t="s">
        <v>923</v>
      </c>
      <c r="B198" s="368" t="s">
        <v>619</v>
      </c>
      <c r="C198" s="370">
        <v>1</v>
      </c>
      <c r="D198" s="141">
        <v>36.270000000000003</v>
      </c>
      <c r="E198" s="147"/>
      <c r="F198" s="147"/>
      <c r="G198" s="147"/>
      <c r="H198" s="147"/>
      <c r="I198" s="147"/>
      <c r="J198" s="147"/>
      <c r="K198" s="147"/>
      <c r="L198" s="147"/>
      <c r="M198" s="147"/>
      <c r="N198" s="147"/>
      <c r="O198" s="140">
        <v>13238.55</v>
      </c>
      <c r="P198" s="138"/>
      <c r="Q198" s="139">
        <f t="shared" si="10"/>
        <v>3405.3</v>
      </c>
      <c r="R198" s="203">
        <f t="shared" si="11"/>
        <v>1261.9649999999999</v>
      </c>
      <c r="S198" s="203">
        <f t="shared" si="7"/>
        <v>1261.9649999999999</v>
      </c>
      <c r="T198" s="203">
        <v>100</v>
      </c>
      <c r="U198" s="206"/>
      <c r="V198" s="367"/>
      <c r="W198" s="367"/>
      <c r="X198" s="367"/>
      <c r="Y198" s="367"/>
      <c r="Z198" s="367"/>
      <c r="AA198" s="133"/>
      <c r="AB198" s="133"/>
      <c r="AC198" s="133"/>
      <c r="AD198" s="133"/>
    </row>
    <row r="199" spans="1:30" ht="22.5">
      <c r="A199" s="3" t="s">
        <v>923</v>
      </c>
      <c r="B199" s="368" t="s">
        <v>619</v>
      </c>
      <c r="C199" s="370">
        <v>1</v>
      </c>
      <c r="D199" s="141">
        <v>36.270000000000003</v>
      </c>
      <c r="E199" s="147"/>
      <c r="F199" s="147"/>
      <c r="G199" s="147"/>
      <c r="H199" s="147"/>
      <c r="I199" s="147"/>
      <c r="J199" s="147"/>
      <c r="K199" s="147"/>
      <c r="L199" s="147"/>
      <c r="M199" s="147"/>
      <c r="N199" s="147"/>
      <c r="O199" s="140">
        <v>13238.55</v>
      </c>
      <c r="P199" s="138">
        <v>300</v>
      </c>
      <c r="Q199" s="139">
        <f t="shared" si="10"/>
        <v>3405.3</v>
      </c>
      <c r="R199" s="203">
        <f t="shared" si="11"/>
        <v>1261.9649999999999</v>
      </c>
      <c r="S199" s="203">
        <f t="shared" si="7"/>
        <v>1261.9649999999999</v>
      </c>
      <c r="T199" s="203">
        <v>100</v>
      </c>
      <c r="U199" s="206"/>
      <c r="V199" s="367"/>
      <c r="W199" s="367"/>
      <c r="X199" s="367"/>
      <c r="Y199" s="367"/>
      <c r="Z199" s="367"/>
      <c r="AA199" s="133"/>
      <c r="AB199" s="133"/>
      <c r="AC199" s="133"/>
      <c r="AD199" s="133"/>
    </row>
    <row r="200" spans="1:30" ht="22.5">
      <c r="A200" s="3" t="s">
        <v>923</v>
      </c>
      <c r="B200" s="368" t="s">
        <v>619</v>
      </c>
      <c r="C200" s="370">
        <v>1</v>
      </c>
      <c r="D200" s="141">
        <v>36.270000000000003</v>
      </c>
      <c r="E200" s="147"/>
      <c r="F200" s="147"/>
      <c r="G200" s="147"/>
      <c r="H200" s="147"/>
      <c r="I200" s="147"/>
      <c r="J200" s="147"/>
      <c r="K200" s="147"/>
      <c r="L200" s="147"/>
      <c r="M200" s="147"/>
      <c r="N200" s="147"/>
      <c r="O200" s="140">
        <v>13238.55</v>
      </c>
      <c r="P200" s="138">
        <v>450</v>
      </c>
      <c r="Q200" s="139">
        <f t="shared" si="10"/>
        <v>3405.3</v>
      </c>
      <c r="R200" s="203">
        <f t="shared" si="11"/>
        <v>1261.9649999999999</v>
      </c>
      <c r="S200" s="203">
        <f t="shared" si="7"/>
        <v>1261.9649999999999</v>
      </c>
      <c r="T200" s="203">
        <v>100</v>
      </c>
      <c r="U200" s="206"/>
      <c r="V200" s="367"/>
      <c r="W200" s="367"/>
      <c r="X200" s="367"/>
      <c r="Y200" s="367"/>
      <c r="Z200" s="367"/>
      <c r="AA200" s="133"/>
      <c r="AB200" s="133"/>
      <c r="AC200" s="133"/>
      <c r="AD200" s="133"/>
    </row>
    <row r="201" spans="1:30" ht="22.5">
      <c r="A201" s="3" t="s">
        <v>923</v>
      </c>
      <c r="B201" s="368" t="s">
        <v>619</v>
      </c>
      <c r="C201" s="370">
        <v>1</v>
      </c>
      <c r="D201" s="141">
        <v>36.270000000000003</v>
      </c>
      <c r="E201" s="147"/>
      <c r="F201" s="147"/>
      <c r="G201" s="147"/>
      <c r="H201" s="147"/>
      <c r="I201" s="147"/>
      <c r="J201" s="147"/>
      <c r="K201" s="147"/>
      <c r="L201" s="147"/>
      <c r="M201" s="147"/>
      <c r="N201" s="147"/>
      <c r="O201" s="140">
        <v>13238.55</v>
      </c>
      <c r="P201" s="138">
        <v>300</v>
      </c>
      <c r="Q201" s="139">
        <f t="shared" si="10"/>
        <v>3405.3</v>
      </c>
      <c r="R201" s="203">
        <f t="shared" si="11"/>
        <v>1261.9649999999999</v>
      </c>
      <c r="S201" s="203">
        <f t="shared" si="7"/>
        <v>1261.9649999999999</v>
      </c>
      <c r="T201" s="203">
        <v>100</v>
      </c>
      <c r="U201" s="206"/>
      <c r="V201" s="367"/>
      <c r="W201" s="367"/>
      <c r="X201" s="367"/>
      <c r="Y201" s="367"/>
      <c r="Z201" s="367"/>
      <c r="AA201" s="133"/>
      <c r="AB201" s="133"/>
      <c r="AC201" s="133"/>
      <c r="AD201" s="133"/>
    </row>
    <row r="202" spans="1:30" ht="22.5">
      <c r="A202" s="3" t="s">
        <v>923</v>
      </c>
      <c r="B202" s="368" t="s">
        <v>619</v>
      </c>
      <c r="C202" s="370">
        <v>1</v>
      </c>
      <c r="D202" s="141">
        <v>36.270000000000003</v>
      </c>
      <c r="E202" s="147"/>
      <c r="F202" s="147"/>
      <c r="G202" s="147"/>
      <c r="H202" s="147"/>
      <c r="I202" s="147"/>
      <c r="J202" s="147"/>
      <c r="K202" s="147"/>
      <c r="L202" s="147"/>
      <c r="M202" s="147"/>
      <c r="N202" s="147"/>
      <c r="O202" s="140">
        <v>13238.55</v>
      </c>
      <c r="P202" s="138">
        <v>300</v>
      </c>
      <c r="Q202" s="139">
        <f t="shared" si="10"/>
        <v>3405.3</v>
      </c>
      <c r="R202" s="203">
        <f t="shared" si="11"/>
        <v>1261.9649999999999</v>
      </c>
      <c r="S202" s="203">
        <f t="shared" si="7"/>
        <v>1261.9649999999999</v>
      </c>
      <c r="T202" s="203">
        <v>100</v>
      </c>
      <c r="U202" s="206"/>
      <c r="V202" s="367"/>
      <c r="W202" s="367"/>
      <c r="X202" s="367"/>
      <c r="Y202" s="367"/>
      <c r="Z202" s="367"/>
      <c r="AA202" s="133"/>
      <c r="AB202" s="133"/>
      <c r="AC202" s="133"/>
      <c r="AD202" s="133"/>
    </row>
    <row r="203" spans="1:30" ht="22.5">
      <c r="A203" s="3" t="s">
        <v>923</v>
      </c>
      <c r="B203" s="368" t="s">
        <v>619</v>
      </c>
      <c r="C203" s="370">
        <v>1</v>
      </c>
      <c r="D203" s="141">
        <v>72.540000000000006</v>
      </c>
      <c r="E203" s="147"/>
      <c r="F203" s="147"/>
      <c r="G203" s="147"/>
      <c r="H203" s="147"/>
      <c r="I203" s="147"/>
      <c r="J203" s="147"/>
      <c r="K203" s="147"/>
      <c r="L203" s="147"/>
      <c r="M203" s="147"/>
      <c r="N203" s="147"/>
      <c r="O203" s="140">
        <v>26477.1</v>
      </c>
      <c r="P203" s="138"/>
      <c r="Q203" s="139">
        <f>3000+3810.6</f>
        <v>6810.6</v>
      </c>
      <c r="R203" s="203">
        <f>+(O203+3810.6)/12</f>
        <v>2523.9749999999999</v>
      </c>
      <c r="S203" s="203">
        <f t="shared" si="7"/>
        <v>2523.9749999999999</v>
      </c>
      <c r="T203" s="203">
        <v>200</v>
      </c>
      <c r="U203" s="206"/>
      <c r="V203" s="367"/>
      <c r="W203" s="367"/>
      <c r="X203" s="367"/>
      <c r="Y203" s="367"/>
      <c r="Z203" s="367"/>
      <c r="AA203" s="133"/>
      <c r="AB203" s="133"/>
      <c r="AC203" s="133"/>
      <c r="AD203" s="133"/>
    </row>
    <row r="204" spans="1:30" ht="22.5">
      <c r="A204" s="3" t="s">
        <v>923</v>
      </c>
      <c r="B204" s="368" t="s">
        <v>619</v>
      </c>
      <c r="C204" s="370">
        <v>1</v>
      </c>
      <c r="D204" s="141">
        <v>36.270000000000003</v>
      </c>
      <c r="E204" s="147"/>
      <c r="F204" s="147"/>
      <c r="G204" s="147"/>
      <c r="H204" s="147"/>
      <c r="I204" s="147"/>
      <c r="J204" s="147"/>
      <c r="K204" s="147"/>
      <c r="L204" s="147"/>
      <c r="M204" s="147"/>
      <c r="N204" s="147"/>
      <c r="O204" s="140">
        <v>13238.55</v>
      </c>
      <c r="P204" s="138"/>
      <c r="Q204" s="139">
        <f>1500+1905.3</f>
        <v>3405.3</v>
      </c>
      <c r="R204" s="203">
        <f>+(O204+1905.03)/12</f>
        <v>1261.9649999999999</v>
      </c>
      <c r="S204" s="203">
        <f t="shared" si="7"/>
        <v>1261.9649999999999</v>
      </c>
      <c r="T204" s="203">
        <v>100</v>
      </c>
      <c r="U204" s="206"/>
      <c r="V204" s="367"/>
      <c r="W204" s="367"/>
      <c r="X204" s="367"/>
      <c r="Y204" s="367"/>
      <c r="Z204" s="367"/>
      <c r="AA204" s="133"/>
      <c r="AB204" s="133"/>
      <c r="AC204" s="133"/>
      <c r="AD204" s="133"/>
    </row>
    <row r="205" spans="1:30" ht="22.5">
      <c r="A205" s="3" t="s">
        <v>923</v>
      </c>
      <c r="B205" s="368" t="s">
        <v>619</v>
      </c>
      <c r="C205" s="370">
        <v>1</v>
      </c>
      <c r="D205" s="141">
        <v>36.270000000000003</v>
      </c>
      <c r="E205" s="147"/>
      <c r="F205" s="147"/>
      <c r="G205" s="147"/>
      <c r="H205" s="147"/>
      <c r="I205" s="147"/>
      <c r="J205" s="147"/>
      <c r="K205" s="147"/>
      <c r="L205" s="147"/>
      <c r="M205" s="147"/>
      <c r="N205" s="147"/>
      <c r="O205" s="140">
        <v>13238.55</v>
      </c>
      <c r="P205" s="138">
        <v>300</v>
      </c>
      <c r="Q205" s="139">
        <f>1500+1905.3</f>
        <v>3405.3</v>
      </c>
      <c r="R205" s="203">
        <f>+(O205+1905.03)/12</f>
        <v>1261.9649999999999</v>
      </c>
      <c r="S205" s="203">
        <f t="shared" si="7"/>
        <v>1261.9649999999999</v>
      </c>
      <c r="T205" s="203">
        <v>100</v>
      </c>
      <c r="U205" s="206"/>
      <c r="V205" s="367"/>
      <c r="W205" s="367"/>
      <c r="X205" s="367"/>
      <c r="Y205" s="367"/>
      <c r="Z205" s="367"/>
      <c r="AA205" s="133"/>
      <c r="AB205" s="133"/>
      <c r="AC205" s="133"/>
      <c r="AD205" s="133"/>
    </row>
    <row r="206" spans="1:30" ht="22.5">
      <c r="A206" s="3" t="s">
        <v>923</v>
      </c>
      <c r="B206" s="368" t="s">
        <v>619</v>
      </c>
      <c r="C206" s="370">
        <v>1</v>
      </c>
      <c r="D206" s="141">
        <v>72.540000000000006</v>
      </c>
      <c r="E206" s="147"/>
      <c r="F206" s="147"/>
      <c r="G206" s="147"/>
      <c r="H206" s="147"/>
      <c r="I206" s="147"/>
      <c r="J206" s="147"/>
      <c r="K206" s="147"/>
      <c r="L206" s="147"/>
      <c r="M206" s="147"/>
      <c r="N206" s="147"/>
      <c r="O206" s="140">
        <v>26477.1</v>
      </c>
      <c r="P206" s="139">
        <v>900</v>
      </c>
      <c r="Q206" s="139">
        <f>3000+3810.6</f>
        <v>6810.6</v>
      </c>
      <c r="R206" s="203">
        <f>+(O206+3810.6)/12</f>
        <v>2523.9749999999999</v>
      </c>
      <c r="S206" s="203">
        <f t="shared" si="7"/>
        <v>2523.9749999999999</v>
      </c>
      <c r="T206" s="203">
        <v>200</v>
      </c>
      <c r="U206" s="206"/>
      <c r="V206" s="367"/>
      <c r="W206" s="367"/>
      <c r="X206" s="367"/>
      <c r="Y206" s="367"/>
      <c r="Z206" s="367"/>
      <c r="AA206" s="133"/>
      <c r="AB206" s="133"/>
      <c r="AC206" s="133"/>
      <c r="AD206" s="133"/>
    </row>
    <row r="207" spans="1:30" ht="33.75">
      <c r="A207" s="3" t="s">
        <v>927</v>
      </c>
      <c r="B207" s="368" t="s">
        <v>619</v>
      </c>
      <c r="C207" s="370">
        <v>1</v>
      </c>
      <c r="D207" s="141">
        <v>36.270000000000003</v>
      </c>
      <c r="E207" s="147"/>
      <c r="F207" s="147"/>
      <c r="G207" s="147"/>
      <c r="H207" s="147"/>
      <c r="I207" s="147"/>
      <c r="J207" s="147"/>
      <c r="K207" s="147"/>
      <c r="L207" s="147"/>
      <c r="M207" s="147"/>
      <c r="N207" s="147"/>
      <c r="O207" s="140">
        <v>13238.55</v>
      </c>
      <c r="P207" s="138"/>
      <c r="Q207" s="139">
        <f>1500+1905.3</f>
        <v>3405.3</v>
      </c>
      <c r="R207" s="203">
        <f>+(O207+1905.03)/12</f>
        <v>1261.9649999999999</v>
      </c>
      <c r="S207" s="203">
        <f t="shared" si="7"/>
        <v>1261.9649999999999</v>
      </c>
      <c r="T207" s="203">
        <v>100</v>
      </c>
      <c r="U207" s="206"/>
      <c r="V207" s="367"/>
      <c r="W207" s="367"/>
      <c r="X207" s="367"/>
      <c r="Y207" s="367"/>
      <c r="Z207" s="367"/>
      <c r="AA207" s="133"/>
      <c r="AB207" s="133"/>
      <c r="AC207" s="133"/>
      <c r="AD207" s="133"/>
    </row>
    <row r="208" spans="1:30" ht="22.5">
      <c r="A208" s="3" t="s">
        <v>923</v>
      </c>
      <c r="B208" s="368" t="s">
        <v>619</v>
      </c>
      <c r="C208" s="370">
        <v>1</v>
      </c>
      <c r="D208" s="141">
        <v>36.270000000000003</v>
      </c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0">
        <v>13238.55</v>
      </c>
      <c r="P208" s="139">
        <v>300</v>
      </c>
      <c r="Q208" s="139">
        <f>1500+1905.3</f>
        <v>3405.3</v>
      </c>
      <c r="R208" s="203">
        <f>+(O208+1905.03)/12</f>
        <v>1261.9649999999999</v>
      </c>
      <c r="S208" s="203">
        <f t="shared" si="7"/>
        <v>1261.9649999999999</v>
      </c>
      <c r="T208" s="203">
        <v>100</v>
      </c>
      <c r="U208" s="206"/>
      <c r="V208" s="367"/>
      <c r="W208" s="367"/>
      <c r="X208" s="367"/>
      <c r="Y208" s="367"/>
      <c r="Z208" s="367"/>
      <c r="AA208" s="133"/>
      <c r="AB208" s="133"/>
      <c r="AC208" s="133"/>
      <c r="AD208" s="133"/>
    </row>
    <row r="209" spans="1:30" ht="22.5">
      <c r="A209" s="3" t="s">
        <v>923</v>
      </c>
      <c r="B209" s="368" t="s">
        <v>619</v>
      </c>
      <c r="C209" s="370">
        <v>1</v>
      </c>
      <c r="D209" s="141">
        <v>36.270000000000003</v>
      </c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0">
        <v>13238.55</v>
      </c>
      <c r="P209" s="373">
        <v>300</v>
      </c>
      <c r="Q209" s="139">
        <f>1500+1905.3</f>
        <v>3405.3</v>
      </c>
      <c r="R209" s="203">
        <f>+(O209+1905.03)/12</f>
        <v>1261.9649999999999</v>
      </c>
      <c r="S209" s="203">
        <f t="shared" si="7"/>
        <v>1261.9649999999999</v>
      </c>
      <c r="T209" s="203">
        <v>100</v>
      </c>
      <c r="U209" s="206"/>
      <c r="V209" s="367"/>
      <c r="W209" s="367"/>
      <c r="X209" s="367"/>
      <c r="Y209" s="367"/>
      <c r="Z209" s="367"/>
      <c r="AA209" s="133"/>
      <c r="AB209" s="133"/>
      <c r="AC209" s="133"/>
      <c r="AD209" s="133"/>
    </row>
    <row r="210" spans="1:30" ht="22.5">
      <c r="A210" s="3" t="s">
        <v>923</v>
      </c>
      <c r="B210" s="368" t="s">
        <v>619</v>
      </c>
      <c r="C210" s="370">
        <v>1</v>
      </c>
      <c r="D210" s="141">
        <v>72.540000000000006</v>
      </c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0">
        <v>26477.1</v>
      </c>
      <c r="P210" s="138"/>
      <c r="Q210" s="139">
        <f>3000+3810.6</f>
        <v>6810.6</v>
      </c>
      <c r="R210" s="203">
        <f>+(O210+3810.6)/12</f>
        <v>2523.9749999999999</v>
      </c>
      <c r="S210" s="203">
        <f t="shared" si="7"/>
        <v>2523.9749999999999</v>
      </c>
      <c r="T210" s="203">
        <v>200</v>
      </c>
      <c r="U210" s="206"/>
      <c r="V210" s="367"/>
      <c r="W210" s="367"/>
      <c r="X210" s="367"/>
      <c r="Y210" s="367"/>
      <c r="Z210" s="367"/>
      <c r="AA210" s="133"/>
      <c r="AB210" s="133"/>
      <c r="AC210" s="133"/>
      <c r="AD210" s="133"/>
    </row>
    <row r="211" spans="1:30" ht="22.5">
      <c r="A211" s="3" t="s">
        <v>923</v>
      </c>
      <c r="B211" s="368" t="s">
        <v>619</v>
      </c>
      <c r="C211" s="370">
        <v>1</v>
      </c>
      <c r="D211" s="141">
        <v>72.540000000000006</v>
      </c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0">
        <v>26477.1</v>
      </c>
      <c r="P211" s="138"/>
      <c r="Q211" s="139">
        <f>3000+3810.6</f>
        <v>6810.6</v>
      </c>
      <c r="R211" s="203">
        <f>+(O211+3810.6)/12</f>
        <v>2523.9749999999999</v>
      </c>
      <c r="S211" s="203">
        <f t="shared" si="7"/>
        <v>2523.9749999999999</v>
      </c>
      <c r="T211" s="203">
        <v>200</v>
      </c>
      <c r="U211" s="206"/>
      <c r="V211" s="367"/>
      <c r="W211" s="367"/>
      <c r="X211" s="367"/>
      <c r="Y211" s="367"/>
      <c r="Z211" s="367"/>
      <c r="AA211" s="133"/>
      <c r="AB211" s="133"/>
      <c r="AC211" s="133"/>
      <c r="AD211" s="133"/>
    </row>
    <row r="212" spans="1:30" ht="22.5">
      <c r="A212" s="3" t="s">
        <v>923</v>
      </c>
      <c r="B212" s="368" t="s">
        <v>619</v>
      </c>
      <c r="C212" s="370">
        <v>1</v>
      </c>
      <c r="D212" s="141">
        <v>36.270000000000003</v>
      </c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0">
        <v>13238.55</v>
      </c>
      <c r="P212" s="138"/>
      <c r="Q212" s="139">
        <f>1500+1905.3</f>
        <v>3405.3</v>
      </c>
      <c r="R212" s="203">
        <f>+(O212+1905.03)/12</f>
        <v>1261.9649999999999</v>
      </c>
      <c r="S212" s="203">
        <f t="shared" si="7"/>
        <v>1261.9649999999999</v>
      </c>
      <c r="T212" s="203">
        <v>100</v>
      </c>
      <c r="U212" s="206"/>
      <c r="V212" s="367"/>
      <c r="W212" s="367"/>
      <c r="X212" s="367"/>
      <c r="Y212" s="367"/>
      <c r="Z212" s="367"/>
      <c r="AA212" s="133"/>
      <c r="AB212" s="133"/>
      <c r="AC212" s="133"/>
      <c r="AD212" s="133"/>
    </row>
    <row r="213" spans="1:30" ht="22.5">
      <c r="A213" s="3" t="s">
        <v>923</v>
      </c>
      <c r="B213" s="368" t="s">
        <v>619</v>
      </c>
      <c r="C213" s="370">
        <v>1</v>
      </c>
      <c r="D213" s="141">
        <v>72.540000000000006</v>
      </c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0">
        <v>26477.1</v>
      </c>
      <c r="P213" s="138"/>
      <c r="Q213" s="139">
        <f>3000+3810.6</f>
        <v>6810.6</v>
      </c>
      <c r="R213" s="203">
        <f>+(O213+3810.6)/12</f>
        <v>2523.9749999999999</v>
      </c>
      <c r="S213" s="203">
        <f t="shared" si="7"/>
        <v>2523.9749999999999</v>
      </c>
      <c r="T213" s="203">
        <v>200</v>
      </c>
      <c r="U213" s="206"/>
      <c r="V213" s="367"/>
      <c r="W213" s="367"/>
      <c r="X213" s="367"/>
      <c r="Y213" s="367"/>
      <c r="Z213" s="367"/>
      <c r="AA213" s="133"/>
      <c r="AB213" s="133"/>
      <c r="AC213" s="133"/>
      <c r="AD213" s="133"/>
    </row>
    <row r="214" spans="1:30" ht="22.5">
      <c r="A214" s="3" t="s">
        <v>923</v>
      </c>
      <c r="B214" s="368" t="s">
        <v>619</v>
      </c>
      <c r="C214" s="370">
        <v>1</v>
      </c>
      <c r="D214" s="141">
        <v>36.270000000000003</v>
      </c>
      <c r="E214" s="147"/>
      <c r="F214" s="147"/>
      <c r="G214" s="147"/>
      <c r="H214" s="147"/>
      <c r="I214" s="147"/>
      <c r="J214" s="147"/>
      <c r="K214" s="147"/>
      <c r="L214" s="147"/>
      <c r="M214" s="147"/>
      <c r="N214" s="147"/>
      <c r="O214" s="140">
        <v>13238.55</v>
      </c>
      <c r="P214" s="138"/>
      <c r="Q214" s="139">
        <f>1500+1905.3</f>
        <v>3405.3</v>
      </c>
      <c r="R214" s="203">
        <f>+(O214+1905.03)/12</f>
        <v>1261.9649999999999</v>
      </c>
      <c r="S214" s="203">
        <f t="shared" si="7"/>
        <v>1261.9649999999999</v>
      </c>
      <c r="T214" s="203">
        <v>100</v>
      </c>
      <c r="U214" s="206"/>
      <c r="V214" s="367"/>
      <c r="W214" s="367"/>
      <c r="X214" s="367"/>
      <c r="Y214" s="367"/>
      <c r="Z214" s="367"/>
      <c r="AA214" s="133"/>
      <c r="AB214" s="133"/>
      <c r="AC214" s="133"/>
      <c r="AD214" s="133"/>
    </row>
    <row r="215" spans="1:30" ht="22.5">
      <c r="A215" s="3" t="s">
        <v>923</v>
      </c>
      <c r="B215" s="368" t="s">
        <v>619</v>
      </c>
      <c r="C215" s="370">
        <v>1</v>
      </c>
      <c r="D215" s="141">
        <v>36.270000000000003</v>
      </c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0">
        <v>13238.55</v>
      </c>
      <c r="P215" s="138">
        <v>300</v>
      </c>
      <c r="Q215" s="139">
        <f>1500+1905.3</f>
        <v>3405.3</v>
      </c>
      <c r="R215" s="203">
        <f>+(O215+1905.03)/12</f>
        <v>1261.9649999999999</v>
      </c>
      <c r="S215" s="203">
        <f t="shared" si="7"/>
        <v>1261.9649999999999</v>
      </c>
      <c r="T215" s="203">
        <v>100</v>
      </c>
      <c r="U215" s="206"/>
      <c r="V215" s="367"/>
      <c r="W215" s="367"/>
      <c r="X215" s="367"/>
      <c r="Y215" s="367"/>
      <c r="Z215" s="367"/>
      <c r="AA215" s="133"/>
      <c r="AB215" s="133"/>
      <c r="AC215" s="133"/>
      <c r="AD215" s="133"/>
    </row>
    <row r="216" spans="1:30" ht="22.5">
      <c r="A216" s="3" t="s">
        <v>923</v>
      </c>
      <c r="B216" s="368" t="s">
        <v>619</v>
      </c>
      <c r="C216" s="370">
        <v>1</v>
      </c>
      <c r="D216" s="141">
        <v>36.270000000000003</v>
      </c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0">
        <v>13238.55</v>
      </c>
      <c r="P216" s="138"/>
      <c r="Q216" s="139">
        <f>1500+1905.3</f>
        <v>3405.3</v>
      </c>
      <c r="R216" s="203">
        <f>+(O216+1905.03)/12</f>
        <v>1261.9649999999999</v>
      </c>
      <c r="S216" s="203">
        <f t="shared" si="7"/>
        <v>1261.9649999999999</v>
      </c>
      <c r="T216" s="203">
        <v>100</v>
      </c>
      <c r="U216" s="206"/>
      <c r="V216" s="367"/>
      <c r="W216" s="367"/>
      <c r="X216" s="367"/>
      <c r="Y216" s="367"/>
      <c r="Z216" s="367"/>
      <c r="AA216" s="133"/>
      <c r="AB216" s="133"/>
      <c r="AC216" s="133"/>
      <c r="AD216" s="133"/>
    </row>
    <row r="217" spans="1:30" ht="22.5">
      <c r="A217" s="3" t="s">
        <v>923</v>
      </c>
      <c r="B217" s="368" t="s">
        <v>619</v>
      </c>
      <c r="C217" s="370">
        <v>1</v>
      </c>
      <c r="D217" s="141">
        <v>36.270000000000003</v>
      </c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0">
        <v>13238.55</v>
      </c>
      <c r="P217" s="138">
        <v>300</v>
      </c>
      <c r="Q217" s="139">
        <f>1500+1905.3</f>
        <v>3405.3</v>
      </c>
      <c r="R217" s="203">
        <f>+(O217+1905.03)/12</f>
        <v>1261.9649999999999</v>
      </c>
      <c r="S217" s="203">
        <f t="shared" si="7"/>
        <v>1261.9649999999999</v>
      </c>
      <c r="T217" s="203">
        <v>100</v>
      </c>
      <c r="U217" s="206"/>
      <c r="V217" s="367"/>
      <c r="W217" s="367"/>
      <c r="X217" s="367"/>
      <c r="Y217" s="367"/>
      <c r="Z217" s="367"/>
      <c r="AA217" s="133"/>
      <c r="AB217" s="133"/>
      <c r="AC217" s="133"/>
      <c r="AD217" s="133"/>
    </row>
    <row r="218" spans="1:30" ht="22.5">
      <c r="A218" s="3" t="s">
        <v>923</v>
      </c>
      <c r="B218" s="368" t="s">
        <v>619</v>
      </c>
      <c r="C218" s="370">
        <v>2</v>
      </c>
      <c r="D218" s="141">
        <v>36.270000000000003</v>
      </c>
      <c r="E218" s="147"/>
      <c r="F218" s="147"/>
      <c r="G218" s="147"/>
      <c r="H218" s="147"/>
      <c r="I218" s="147"/>
      <c r="J218" s="147"/>
      <c r="K218" s="147"/>
      <c r="L218" s="147"/>
      <c r="M218" s="147"/>
      <c r="N218" s="147"/>
      <c r="O218" s="140">
        <v>26477.1</v>
      </c>
      <c r="P218" s="138"/>
      <c r="Q218" s="139">
        <f>3000+3810.6</f>
        <v>6810.6</v>
      </c>
      <c r="R218" s="203">
        <f>+(O218+3810.6)/12</f>
        <v>2523.9749999999999</v>
      </c>
      <c r="S218" s="203">
        <f t="shared" si="7"/>
        <v>2523.9749999999999</v>
      </c>
      <c r="T218" s="203">
        <v>200</v>
      </c>
      <c r="U218" s="206"/>
      <c r="V218" s="367"/>
      <c r="W218" s="367"/>
      <c r="X218" s="367"/>
      <c r="Y218" s="367"/>
      <c r="Z218" s="367"/>
      <c r="AA218" s="133"/>
      <c r="AB218" s="133"/>
      <c r="AC218" s="133"/>
      <c r="AD218" s="133"/>
    </row>
    <row r="219" spans="1:30" ht="22.5">
      <c r="A219" s="3" t="s">
        <v>923</v>
      </c>
      <c r="B219" s="368" t="s">
        <v>619</v>
      </c>
      <c r="C219" s="369">
        <v>1</v>
      </c>
      <c r="D219" s="140">
        <v>72.540000000000006</v>
      </c>
      <c r="E219" s="147"/>
      <c r="F219" s="147"/>
      <c r="G219" s="147"/>
      <c r="H219" s="147"/>
      <c r="I219" s="147"/>
      <c r="J219" s="147"/>
      <c r="K219" s="147"/>
      <c r="L219" s="147"/>
      <c r="M219" s="147"/>
      <c r="N219" s="147"/>
      <c r="O219" s="140">
        <v>26477.1</v>
      </c>
      <c r="P219" s="138">
        <v>600</v>
      </c>
      <c r="Q219" s="139">
        <f>3000+3810.6</f>
        <v>6810.6</v>
      </c>
      <c r="R219" s="203">
        <f>+(O219+3810.6)/12</f>
        <v>2523.9749999999999</v>
      </c>
      <c r="S219" s="203">
        <f t="shared" si="7"/>
        <v>2523.9749999999999</v>
      </c>
      <c r="T219" s="203">
        <v>200</v>
      </c>
      <c r="U219" s="206"/>
      <c r="V219" s="367"/>
      <c r="W219" s="367"/>
      <c r="X219" s="367"/>
      <c r="Y219" s="367"/>
      <c r="Z219" s="367"/>
      <c r="AA219" s="133"/>
      <c r="AB219" s="133"/>
      <c r="AC219" s="133"/>
      <c r="AD219" s="133"/>
    </row>
    <row r="220" spans="1:30" ht="22.5">
      <c r="A220" s="3" t="s">
        <v>923</v>
      </c>
      <c r="B220" s="368" t="s">
        <v>619</v>
      </c>
      <c r="C220" s="369">
        <v>1</v>
      </c>
      <c r="D220" s="140">
        <v>36.270000000000003</v>
      </c>
      <c r="E220" s="147"/>
      <c r="F220" s="147"/>
      <c r="G220" s="147"/>
      <c r="H220" s="147"/>
      <c r="I220" s="147"/>
      <c r="J220" s="147"/>
      <c r="K220" s="147"/>
      <c r="L220" s="147"/>
      <c r="M220" s="147"/>
      <c r="N220" s="147"/>
      <c r="O220" s="140">
        <v>13238.55</v>
      </c>
      <c r="P220" s="138">
        <v>300</v>
      </c>
      <c r="Q220" s="139">
        <f>1500+1905.3</f>
        <v>3405.3</v>
      </c>
      <c r="R220" s="203">
        <f>+(O220+1905.03)/12</f>
        <v>1261.9649999999999</v>
      </c>
      <c r="S220" s="203">
        <f t="shared" si="7"/>
        <v>1261.9649999999999</v>
      </c>
      <c r="T220" s="203">
        <v>100</v>
      </c>
      <c r="U220" s="206"/>
      <c r="V220" s="367"/>
      <c r="W220" s="367"/>
      <c r="X220" s="367"/>
      <c r="Y220" s="367"/>
      <c r="Z220" s="367"/>
      <c r="AA220" s="133"/>
      <c r="AB220" s="133"/>
      <c r="AC220" s="133"/>
      <c r="AD220" s="133"/>
    </row>
    <row r="221" spans="1:30" ht="22.5">
      <c r="A221" s="3" t="s">
        <v>923</v>
      </c>
      <c r="B221" s="368" t="s">
        <v>619</v>
      </c>
      <c r="C221" s="369">
        <v>1</v>
      </c>
      <c r="D221" s="140">
        <v>36.270000000000003</v>
      </c>
      <c r="E221" s="147"/>
      <c r="F221" s="147"/>
      <c r="G221" s="147"/>
      <c r="H221" s="147"/>
      <c r="I221" s="147"/>
      <c r="J221" s="147"/>
      <c r="K221" s="147"/>
      <c r="L221" s="147"/>
      <c r="M221" s="147"/>
      <c r="N221" s="147"/>
      <c r="O221" s="140">
        <v>13238.55</v>
      </c>
      <c r="P221" s="138"/>
      <c r="Q221" s="139">
        <f>1500+1905.3</f>
        <v>3405.3</v>
      </c>
      <c r="R221" s="203">
        <f>+(O221+1905.03)/12</f>
        <v>1261.9649999999999</v>
      </c>
      <c r="S221" s="203">
        <f t="shared" si="7"/>
        <v>1261.9649999999999</v>
      </c>
      <c r="T221" s="203">
        <v>100</v>
      </c>
      <c r="U221" s="206"/>
      <c r="V221" s="367"/>
      <c r="W221" s="367"/>
      <c r="X221" s="367"/>
      <c r="Y221" s="367"/>
      <c r="Z221" s="367"/>
      <c r="AA221" s="133"/>
      <c r="AB221" s="133"/>
      <c r="AC221" s="133"/>
      <c r="AD221" s="133"/>
    </row>
    <row r="222" spans="1:30" ht="22.5">
      <c r="A222" s="3" t="s">
        <v>923</v>
      </c>
      <c r="B222" s="368" t="s">
        <v>619</v>
      </c>
      <c r="C222" s="369">
        <v>1</v>
      </c>
      <c r="D222" s="140">
        <v>36.270000000000003</v>
      </c>
      <c r="E222" s="147"/>
      <c r="F222" s="147"/>
      <c r="G222" s="147"/>
      <c r="H222" s="147"/>
      <c r="I222" s="147"/>
      <c r="J222" s="147"/>
      <c r="K222" s="147"/>
      <c r="L222" s="147"/>
      <c r="M222" s="147"/>
      <c r="N222" s="147"/>
      <c r="O222" s="140">
        <v>13238.55</v>
      </c>
      <c r="P222" s="138">
        <v>210</v>
      </c>
      <c r="Q222" s="139">
        <f>1500+1905.3</f>
        <v>3405.3</v>
      </c>
      <c r="R222" s="203">
        <f>+(O222+1905.03)/12</f>
        <v>1261.9649999999999</v>
      </c>
      <c r="S222" s="203">
        <f t="shared" si="7"/>
        <v>1261.9649999999999</v>
      </c>
      <c r="T222" s="203">
        <v>100</v>
      </c>
      <c r="U222" s="206"/>
      <c r="V222" s="367"/>
      <c r="W222" s="367"/>
      <c r="X222" s="367"/>
      <c r="Y222" s="367"/>
      <c r="Z222" s="367"/>
      <c r="AA222" s="133"/>
      <c r="AB222" s="133"/>
      <c r="AC222" s="133"/>
      <c r="AD222" s="133"/>
    </row>
    <row r="223" spans="1:30" ht="22.5">
      <c r="A223" s="3" t="s">
        <v>923</v>
      </c>
      <c r="B223" s="368" t="s">
        <v>619</v>
      </c>
      <c r="C223" s="369">
        <v>3</v>
      </c>
      <c r="D223" s="140">
        <v>36.270000000000003</v>
      </c>
      <c r="E223" s="147"/>
      <c r="F223" s="147"/>
      <c r="G223" s="147"/>
      <c r="H223" s="147"/>
      <c r="I223" s="147"/>
      <c r="J223" s="147"/>
      <c r="K223" s="147"/>
      <c r="L223" s="147"/>
      <c r="M223" s="147"/>
      <c r="N223" s="147"/>
      <c r="O223" s="140">
        <v>39715.649999999994</v>
      </c>
      <c r="P223" s="138">
        <v>300</v>
      </c>
      <c r="Q223" s="139">
        <f>4500+11431.8</f>
        <v>15931.8</v>
      </c>
      <c r="R223" s="203">
        <f>+(O223+11431.8)/12</f>
        <v>4262.2874999999995</v>
      </c>
      <c r="S223" s="203">
        <f t="shared" si="7"/>
        <v>4262.2874999999995</v>
      </c>
      <c r="T223" s="203">
        <v>300</v>
      </c>
      <c r="U223" s="206"/>
      <c r="V223" s="367"/>
      <c r="W223" s="367"/>
      <c r="X223" s="367"/>
      <c r="Y223" s="367"/>
      <c r="Z223" s="367"/>
      <c r="AA223" s="133"/>
      <c r="AB223" s="133"/>
      <c r="AC223" s="133"/>
      <c r="AD223" s="133"/>
    </row>
    <row r="224" spans="1:30">
      <c r="A224" s="3" t="s">
        <v>638</v>
      </c>
      <c r="B224" s="368" t="s">
        <v>619</v>
      </c>
      <c r="C224" s="370">
        <v>1</v>
      </c>
      <c r="D224" s="140">
        <v>71.400000000000006</v>
      </c>
      <c r="E224" s="147"/>
      <c r="F224" s="147"/>
      <c r="G224" s="147"/>
      <c r="H224" s="147"/>
      <c r="I224" s="147"/>
      <c r="J224" s="147"/>
      <c r="K224" s="147"/>
      <c r="L224" s="147"/>
      <c r="M224" s="147"/>
      <c r="N224" s="147"/>
      <c r="O224" s="140">
        <v>26061</v>
      </c>
      <c r="P224" s="138">
        <v>420</v>
      </c>
      <c r="Q224" s="139">
        <f>3000+3810.6</f>
        <v>6810.6</v>
      </c>
      <c r="R224" s="203">
        <f>+(O224+3810.6)/12</f>
        <v>2489.2999999999997</v>
      </c>
      <c r="S224" s="203">
        <f t="shared" si="7"/>
        <v>2489.2999999999997</v>
      </c>
      <c r="T224" s="203">
        <v>200</v>
      </c>
      <c r="U224" s="206"/>
      <c r="V224" s="367"/>
      <c r="W224" s="367"/>
      <c r="X224" s="367"/>
      <c r="Y224" s="367"/>
      <c r="Z224" s="367"/>
      <c r="AA224" s="133"/>
      <c r="AB224" s="133"/>
      <c r="AC224" s="133"/>
      <c r="AD224" s="133"/>
    </row>
    <row r="225" spans="1:30" ht="22.5">
      <c r="A225" s="3" t="s">
        <v>923</v>
      </c>
      <c r="B225" s="368" t="s">
        <v>619</v>
      </c>
      <c r="C225" s="370">
        <v>2</v>
      </c>
      <c r="D225" s="141">
        <v>72.540000000000006</v>
      </c>
      <c r="E225" s="147"/>
      <c r="F225" s="147"/>
      <c r="G225" s="147"/>
      <c r="H225" s="147"/>
      <c r="I225" s="147"/>
      <c r="J225" s="147"/>
      <c r="K225" s="147"/>
      <c r="L225" s="147"/>
      <c r="M225" s="147"/>
      <c r="N225" s="147"/>
      <c r="O225" s="140">
        <v>52954.2</v>
      </c>
      <c r="P225" s="138">
        <v>840</v>
      </c>
      <c r="Q225" s="139">
        <f>3000+3810.6</f>
        <v>6810.6</v>
      </c>
      <c r="R225" s="203">
        <f>+(O225+3810.6)/12</f>
        <v>4730.3999999999996</v>
      </c>
      <c r="S225" s="203">
        <f t="shared" si="7"/>
        <v>4730.3999999999996</v>
      </c>
      <c r="T225" s="203">
        <v>400</v>
      </c>
      <c r="U225" s="206"/>
      <c r="V225" s="367"/>
      <c r="W225" s="367"/>
      <c r="X225" s="367"/>
      <c r="Y225" s="367"/>
      <c r="Z225" s="367"/>
      <c r="AA225" s="133"/>
      <c r="AB225" s="133"/>
      <c r="AC225" s="133"/>
      <c r="AD225" s="133"/>
    </row>
    <row r="226" spans="1:30">
      <c r="A226" s="3" t="s">
        <v>172</v>
      </c>
      <c r="B226" s="368" t="s">
        <v>619</v>
      </c>
      <c r="C226" s="370">
        <v>1</v>
      </c>
      <c r="D226" s="141">
        <v>35.700000000000003</v>
      </c>
      <c r="E226" s="147"/>
      <c r="F226" s="147"/>
      <c r="G226" s="147"/>
      <c r="H226" s="147"/>
      <c r="I226" s="147"/>
      <c r="J226" s="147"/>
      <c r="K226" s="147"/>
      <c r="L226" s="147"/>
      <c r="M226" s="147"/>
      <c r="N226" s="147"/>
      <c r="O226" s="140">
        <v>13030.5</v>
      </c>
      <c r="P226" s="138">
        <v>210</v>
      </c>
      <c r="Q226" s="139">
        <f>1500+1905.3</f>
        <v>3405.3</v>
      </c>
      <c r="R226" s="203">
        <f>+(O226+1905.3)/12</f>
        <v>1244.6499999999999</v>
      </c>
      <c r="S226" s="203">
        <f t="shared" si="7"/>
        <v>1244.6499999999999</v>
      </c>
      <c r="T226" s="203">
        <v>100</v>
      </c>
      <c r="U226" s="206"/>
      <c r="V226" s="367"/>
      <c r="W226" s="367"/>
      <c r="X226" s="367"/>
      <c r="Y226" s="367"/>
      <c r="Z226" s="367"/>
      <c r="AA226" s="133"/>
      <c r="AB226" s="133"/>
      <c r="AC226" s="133"/>
      <c r="AD226" s="133"/>
    </row>
    <row r="227" spans="1:30" ht="22.5">
      <c r="A227" s="3" t="s">
        <v>928</v>
      </c>
      <c r="B227" s="368" t="s">
        <v>619</v>
      </c>
      <c r="C227" s="370">
        <v>1</v>
      </c>
      <c r="D227" s="141">
        <v>78.25</v>
      </c>
      <c r="E227" s="147"/>
      <c r="F227" s="147"/>
      <c r="G227" s="147"/>
      <c r="H227" s="147"/>
      <c r="I227" s="147"/>
      <c r="J227" s="147"/>
      <c r="K227" s="147"/>
      <c r="L227" s="147"/>
      <c r="M227" s="147"/>
      <c r="N227" s="147"/>
      <c r="O227" s="140">
        <v>28561.25</v>
      </c>
      <c r="P227" s="138">
        <v>420</v>
      </c>
      <c r="Q227" s="139">
        <f>3000+3810.6</f>
        <v>6810.6</v>
      </c>
      <c r="R227" s="203">
        <f>+(O227+3810.6)/12</f>
        <v>2697.6541666666667</v>
      </c>
      <c r="S227" s="203">
        <f t="shared" si="7"/>
        <v>2697.6541666666667</v>
      </c>
      <c r="T227" s="203">
        <v>200</v>
      </c>
      <c r="U227" s="206"/>
      <c r="V227" s="367"/>
      <c r="W227" s="367"/>
      <c r="X227" s="367"/>
      <c r="Y227" s="367"/>
      <c r="Z227" s="367"/>
      <c r="AA227" s="133"/>
      <c r="AB227" s="133"/>
      <c r="AC227" s="133"/>
      <c r="AD227" s="133"/>
    </row>
    <row r="228" spans="1:30" ht="22.5">
      <c r="A228" s="3" t="s">
        <v>923</v>
      </c>
      <c r="B228" s="368" t="s">
        <v>619</v>
      </c>
      <c r="C228" s="370">
        <v>2</v>
      </c>
      <c r="D228" s="141">
        <v>72.540000000000006</v>
      </c>
      <c r="E228" s="147"/>
      <c r="F228" s="147"/>
      <c r="G228" s="147"/>
      <c r="H228" s="147"/>
      <c r="I228" s="147"/>
      <c r="J228" s="147"/>
      <c r="K228" s="147"/>
      <c r="L228" s="147"/>
      <c r="M228" s="147"/>
      <c r="N228" s="147"/>
      <c r="O228" s="140">
        <v>52954.2</v>
      </c>
      <c r="P228" s="138"/>
      <c r="Q228" s="139">
        <f>6000+7621.2</f>
        <v>13621.2</v>
      </c>
      <c r="R228" s="203">
        <f>+(O228+7621.2)/12</f>
        <v>5047.95</v>
      </c>
      <c r="S228" s="203">
        <f t="shared" si="7"/>
        <v>5047.95</v>
      </c>
      <c r="T228" s="203">
        <v>400</v>
      </c>
      <c r="U228" s="206"/>
      <c r="V228" s="367"/>
      <c r="W228" s="367"/>
      <c r="X228" s="367"/>
      <c r="Y228" s="367"/>
      <c r="Z228" s="367"/>
      <c r="AA228" s="133"/>
      <c r="AB228" s="133"/>
      <c r="AC228" s="133"/>
      <c r="AD228" s="133"/>
    </row>
    <row r="229" spans="1:30" ht="22.5">
      <c r="A229" s="3" t="s">
        <v>645</v>
      </c>
      <c r="B229" s="368" t="s">
        <v>619</v>
      </c>
      <c r="C229" s="369">
        <v>1</v>
      </c>
      <c r="D229" s="140">
        <v>73.59</v>
      </c>
      <c r="E229" s="147"/>
      <c r="F229" s="147"/>
      <c r="G229" s="147"/>
      <c r="H229" s="147"/>
      <c r="I229" s="147"/>
      <c r="J229" s="147"/>
      <c r="K229" s="147"/>
      <c r="L229" s="147"/>
      <c r="M229" s="147"/>
      <c r="N229" s="147"/>
      <c r="O229" s="140">
        <v>26860.35</v>
      </c>
      <c r="P229" s="138"/>
      <c r="Q229" s="139">
        <f>3000+3810.6</f>
        <v>6810.6</v>
      </c>
      <c r="R229" s="203">
        <f>+(O229+3810.6)/12</f>
        <v>2555.9124999999999</v>
      </c>
      <c r="S229" s="203">
        <f t="shared" si="7"/>
        <v>2555.9124999999999</v>
      </c>
      <c r="T229" s="203">
        <v>200</v>
      </c>
      <c r="U229" s="206"/>
      <c r="V229" s="367"/>
      <c r="W229" s="367"/>
      <c r="X229" s="367"/>
      <c r="Y229" s="367"/>
      <c r="Z229" s="367"/>
      <c r="AA229" s="133"/>
      <c r="AB229" s="133"/>
      <c r="AC229" s="133"/>
      <c r="AD229" s="133"/>
    </row>
    <row r="230" spans="1:30">
      <c r="A230" s="3" t="s">
        <v>638</v>
      </c>
      <c r="B230" s="368" t="s">
        <v>619</v>
      </c>
      <c r="C230" s="370">
        <v>4</v>
      </c>
      <c r="D230" s="141">
        <v>71.400000000000006</v>
      </c>
      <c r="E230" s="147"/>
      <c r="F230" s="147"/>
      <c r="G230" s="147"/>
      <c r="H230" s="147"/>
      <c r="I230" s="147"/>
      <c r="J230" s="147"/>
      <c r="K230" s="147"/>
      <c r="L230" s="147"/>
      <c r="M230" s="147"/>
      <c r="N230" s="147"/>
      <c r="O230" s="140">
        <v>104244</v>
      </c>
      <c r="P230" s="138">
        <v>1200</v>
      </c>
      <c r="Q230" s="139">
        <f>3000+15242.4</f>
        <v>18242.400000000001</v>
      </c>
      <c r="R230" s="203">
        <f>+(O230+15242.4)/12</f>
        <v>9957.1999999999989</v>
      </c>
      <c r="S230" s="203">
        <f t="shared" si="7"/>
        <v>9957.1999999999989</v>
      </c>
      <c r="T230" s="203">
        <v>800</v>
      </c>
      <c r="U230" s="206"/>
      <c r="V230" s="367"/>
      <c r="W230" s="367"/>
      <c r="X230" s="367"/>
      <c r="Y230" s="367"/>
      <c r="Z230" s="367"/>
      <c r="AA230" s="133"/>
      <c r="AB230" s="133"/>
      <c r="AC230" s="133"/>
      <c r="AD230" s="133"/>
    </row>
    <row r="231" spans="1:30" ht="22.5">
      <c r="A231" s="3" t="s">
        <v>923</v>
      </c>
      <c r="B231" s="368" t="s">
        <v>619</v>
      </c>
      <c r="C231" s="370">
        <v>2</v>
      </c>
      <c r="D231" s="141">
        <v>72.540000000000006</v>
      </c>
      <c r="E231" s="147"/>
      <c r="F231" s="147"/>
      <c r="G231" s="147"/>
      <c r="H231" s="147"/>
      <c r="I231" s="147"/>
      <c r="J231" s="147"/>
      <c r="K231" s="147"/>
      <c r="L231" s="147"/>
      <c r="M231" s="147"/>
      <c r="N231" s="147"/>
      <c r="O231" s="140">
        <v>52954.2</v>
      </c>
      <c r="P231" s="139">
        <v>1320</v>
      </c>
      <c r="Q231" s="139">
        <f>6000+7621.2</f>
        <v>13621.2</v>
      </c>
      <c r="R231" s="203">
        <f>+(O231+7621.2)/12</f>
        <v>5047.95</v>
      </c>
      <c r="S231" s="203">
        <f t="shared" si="7"/>
        <v>5047.95</v>
      </c>
      <c r="T231" s="203">
        <v>400</v>
      </c>
      <c r="U231" s="206"/>
      <c r="V231" s="367"/>
      <c r="W231" s="367"/>
      <c r="X231" s="367"/>
      <c r="Y231" s="367"/>
      <c r="Z231" s="367"/>
      <c r="AA231" s="133"/>
      <c r="AB231" s="133"/>
      <c r="AC231" s="133"/>
      <c r="AD231" s="133"/>
    </row>
    <row r="232" spans="1:30">
      <c r="A232" s="3" t="s">
        <v>646</v>
      </c>
      <c r="B232" s="368" t="s">
        <v>619</v>
      </c>
      <c r="C232" s="370">
        <v>2</v>
      </c>
      <c r="D232" s="141">
        <v>71.400000000000006</v>
      </c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0">
        <v>52122</v>
      </c>
      <c r="P232" s="138">
        <v>1200</v>
      </c>
      <c r="Q232" s="139">
        <f>6000+7621.2</f>
        <v>13621.2</v>
      </c>
      <c r="R232" s="203">
        <f>+(O232+7621.2)/12</f>
        <v>4978.5999999999995</v>
      </c>
      <c r="S232" s="203">
        <f t="shared" si="7"/>
        <v>4978.5999999999995</v>
      </c>
      <c r="T232" s="203">
        <v>400</v>
      </c>
      <c r="U232" s="206"/>
      <c r="V232" s="367"/>
      <c r="W232" s="367"/>
      <c r="X232" s="367"/>
      <c r="Y232" s="367"/>
      <c r="Z232" s="367"/>
      <c r="AA232" s="133"/>
      <c r="AB232" s="133"/>
      <c r="AC232" s="133"/>
      <c r="AD232" s="133"/>
    </row>
    <row r="233" spans="1:30" ht="22.5">
      <c r="A233" s="3" t="s">
        <v>923</v>
      </c>
      <c r="B233" s="368" t="s">
        <v>619</v>
      </c>
      <c r="C233" s="374">
        <v>5</v>
      </c>
      <c r="D233" s="141">
        <v>72.540000000000006</v>
      </c>
      <c r="E233" s="147"/>
      <c r="F233" s="147"/>
      <c r="G233" s="147"/>
      <c r="H233" s="147"/>
      <c r="I233" s="147"/>
      <c r="J233" s="147"/>
      <c r="K233" s="147"/>
      <c r="L233" s="147"/>
      <c r="M233" s="147"/>
      <c r="N233" s="147"/>
      <c r="O233" s="140">
        <v>132385.5</v>
      </c>
      <c r="P233" s="138">
        <v>420</v>
      </c>
      <c r="Q233" s="139">
        <f>15000+19053</f>
        <v>34053</v>
      </c>
      <c r="R233" s="203">
        <f>+(O233+19053)/12</f>
        <v>12619.875</v>
      </c>
      <c r="S233" s="203">
        <f t="shared" si="7"/>
        <v>12619.875</v>
      </c>
      <c r="T233" s="203">
        <v>1000</v>
      </c>
      <c r="U233" s="206"/>
      <c r="V233" s="367"/>
      <c r="W233" s="367"/>
      <c r="X233" s="367"/>
      <c r="Y233" s="367"/>
      <c r="Z233" s="367"/>
      <c r="AA233" s="133"/>
      <c r="AB233" s="133"/>
      <c r="AC233" s="133"/>
      <c r="AD233" s="133"/>
    </row>
    <row r="234" spans="1:30">
      <c r="A234" s="3" t="s">
        <v>646</v>
      </c>
      <c r="B234" s="368" t="s">
        <v>619</v>
      </c>
      <c r="C234" s="370">
        <v>1</v>
      </c>
      <c r="D234" s="141">
        <v>71.400000000000006</v>
      </c>
      <c r="E234" s="147"/>
      <c r="F234" s="147"/>
      <c r="G234" s="147"/>
      <c r="H234" s="147"/>
      <c r="I234" s="147"/>
      <c r="J234" s="147"/>
      <c r="K234" s="147"/>
      <c r="L234" s="147"/>
      <c r="M234" s="147"/>
      <c r="N234" s="147"/>
      <c r="O234" s="140">
        <v>26061</v>
      </c>
      <c r="P234" s="138">
        <v>600</v>
      </c>
      <c r="Q234" s="139">
        <f>3000+3810.6</f>
        <v>6810.6</v>
      </c>
      <c r="R234" s="203">
        <f>+(O234+3810.6)/12</f>
        <v>2489.2999999999997</v>
      </c>
      <c r="S234" s="203">
        <f t="shared" si="7"/>
        <v>2489.2999999999997</v>
      </c>
      <c r="T234" s="203">
        <v>200</v>
      </c>
      <c r="U234" s="206"/>
      <c r="V234" s="367"/>
      <c r="W234" s="367"/>
      <c r="X234" s="367"/>
      <c r="Y234" s="367"/>
      <c r="Z234" s="367"/>
      <c r="AA234" s="133"/>
      <c r="AB234" s="133"/>
      <c r="AC234" s="133"/>
      <c r="AD234" s="133"/>
    </row>
    <row r="235" spans="1:30" ht="22.5">
      <c r="A235" s="3" t="s">
        <v>923</v>
      </c>
      <c r="B235" s="368" t="s">
        <v>619</v>
      </c>
      <c r="C235" s="370">
        <v>1</v>
      </c>
      <c r="D235" s="141">
        <v>36.270000000000003</v>
      </c>
      <c r="E235" s="147"/>
      <c r="F235" s="147"/>
      <c r="G235" s="147"/>
      <c r="H235" s="147"/>
      <c r="I235" s="147"/>
      <c r="J235" s="147"/>
      <c r="K235" s="147"/>
      <c r="L235" s="147"/>
      <c r="M235" s="147"/>
      <c r="N235" s="147"/>
      <c r="O235" s="140">
        <v>13238.55</v>
      </c>
      <c r="P235" s="138">
        <v>300</v>
      </c>
      <c r="Q235" s="139">
        <f>1500+1905.3</f>
        <v>3405.3</v>
      </c>
      <c r="R235" s="203">
        <f>+(O235+1905.03)/12</f>
        <v>1261.9649999999999</v>
      </c>
      <c r="S235" s="203">
        <f t="shared" ref="S235:S249" si="12">+R235</f>
        <v>1261.9649999999999</v>
      </c>
      <c r="T235" s="203">
        <v>100</v>
      </c>
      <c r="U235" s="206"/>
      <c r="V235" s="367"/>
      <c r="W235" s="367"/>
      <c r="X235" s="367"/>
      <c r="Y235" s="367"/>
      <c r="Z235" s="367"/>
      <c r="AA235" s="133"/>
      <c r="AB235" s="133"/>
      <c r="AC235" s="133"/>
      <c r="AD235" s="133"/>
    </row>
    <row r="236" spans="1:30" ht="22.5">
      <c r="A236" s="3" t="s">
        <v>923</v>
      </c>
      <c r="B236" s="368" t="s">
        <v>619</v>
      </c>
      <c r="C236" s="369">
        <v>3</v>
      </c>
      <c r="D236" s="140">
        <v>72.540000000000006</v>
      </c>
      <c r="E236" s="147"/>
      <c r="F236" s="147"/>
      <c r="G236" s="147"/>
      <c r="H236" s="147"/>
      <c r="I236" s="147"/>
      <c r="J236" s="147"/>
      <c r="K236" s="147"/>
      <c r="L236" s="147"/>
      <c r="M236" s="147"/>
      <c r="N236" s="147"/>
      <c r="O236" s="140">
        <v>79431.299999999988</v>
      </c>
      <c r="P236" s="138">
        <v>420</v>
      </c>
      <c r="Q236" s="139">
        <f>9000+11431.8</f>
        <v>20431.8</v>
      </c>
      <c r="R236" s="203">
        <f>+(O236+11431.8)/12</f>
        <v>7571.9249999999993</v>
      </c>
      <c r="S236" s="203">
        <f t="shared" si="12"/>
        <v>7571.9249999999993</v>
      </c>
      <c r="T236" s="203">
        <v>600</v>
      </c>
      <c r="U236" s="206"/>
      <c r="V236" s="367"/>
      <c r="W236" s="367"/>
      <c r="X236" s="367"/>
      <c r="Y236" s="367"/>
      <c r="Z236" s="367"/>
      <c r="AA236" s="133"/>
      <c r="AB236" s="133"/>
      <c r="AC236" s="133"/>
      <c r="AD236" s="133"/>
    </row>
    <row r="237" spans="1:30" ht="22.5">
      <c r="A237" s="3" t="s">
        <v>923</v>
      </c>
      <c r="B237" s="368" t="s">
        <v>619</v>
      </c>
      <c r="C237" s="369">
        <v>1</v>
      </c>
      <c r="D237" s="140">
        <v>36.270000000000003</v>
      </c>
      <c r="E237" s="147"/>
      <c r="F237" s="147"/>
      <c r="G237" s="147"/>
      <c r="H237" s="147"/>
      <c r="I237" s="147"/>
      <c r="J237" s="147"/>
      <c r="K237" s="147"/>
      <c r="L237" s="147"/>
      <c r="M237" s="147"/>
      <c r="N237" s="147"/>
      <c r="O237" s="140">
        <v>13238.55</v>
      </c>
      <c r="P237" s="138"/>
      <c r="Q237" s="139">
        <f>1500+1905.3</f>
        <v>3405.3</v>
      </c>
      <c r="R237" s="203">
        <f>+(O237+1905.03)/12</f>
        <v>1261.9649999999999</v>
      </c>
      <c r="S237" s="203">
        <f t="shared" si="12"/>
        <v>1261.9649999999999</v>
      </c>
      <c r="T237" s="203">
        <v>100</v>
      </c>
      <c r="U237" s="206"/>
      <c r="V237" s="367"/>
      <c r="W237" s="367"/>
      <c r="X237" s="367"/>
      <c r="Y237" s="367"/>
      <c r="Z237" s="367"/>
      <c r="AA237" s="133"/>
      <c r="AB237" s="133"/>
      <c r="AC237" s="133"/>
      <c r="AD237" s="133"/>
    </row>
    <row r="238" spans="1:30">
      <c r="A238" s="3" t="s">
        <v>646</v>
      </c>
      <c r="B238" s="368" t="s">
        <v>619</v>
      </c>
      <c r="C238" s="369">
        <v>1</v>
      </c>
      <c r="D238" s="140">
        <v>71.400000000000006</v>
      </c>
      <c r="E238" s="147"/>
      <c r="F238" s="147"/>
      <c r="G238" s="147"/>
      <c r="H238" s="147"/>
      <c r="I238" s="147"/>
      <c r="J238" s="147"/>
      <c r="K238" s="147"/>
      <c r="L238" s="147"/>
      <c r="M238" s="147"/>
      <c r="N238" s="147"/>
      <c r="O238" s="140">
        <v>26061</v>
      </c>
      <c r="P238" s="138">
        <v>420</v>
      </c>
      <c r="Q238" s="139">
        <f>3000+3810.6</f>
        <v>6810.6</v>
      </c>
      <c r="R238" s="203">
        <f>+(O238+3810.6)/12</f>
        <v>2489.2999999999997</v>
      </c>
      <c r="S238" s="203">
        <f t="shared" si="12"/>
        <v>2489.2999999999997</v>
      </c>
      <c r="T238" s="203">
        <v>200</v>
      </c>
      <c r="U238" s="206"/>
      <c r="V238" s="367"/>
      <c r="W238" s="367"/>
      <c r="X238" s="367"/>
      <c r="Y238" s="367"/>
      <c r="Z238" s="367"/>
      <c r="AA238" s="133"/>
      <c r="AB238" s="133"/>
      <c r="AC238" s="133"/>
      <c r="AD238" s="133"/>
    </row>
    <row r="239" spans="1:30" ht="22.5">
      <c r="A239" s="3" t="s">
        <v>923</v>
      </c>
      <c r="B239" s="368" t="s">
        <v>619</v>
      </c>
      <c r="C239" s="370">
        <v>1</v>
      </c>
      <c r="D239" s="140">
        <v>72.540000000000006</v>
      </c>
      <c r="E239" s="147"/>
      <c r="F239" s="147"/>
      <c r="G239" s="147"/>
      <c r="H239" s="147"/>
      <c r="I239" s="147"/>
      <c r="J239" s="147"/>
      <c r="K239" s="147"/>
      <c r="L239" s="147"/>
      <c r="M239" s="147"/>
      <c r="N239" s="147"/>
      <c r="O239" s="140">
        <v>26477.1</v>
      </c>
      <c r="P239" s="138"/>
      <c r="Q239" s="139">
        <f>3000+3810.6</f>
        <v>6810.6</v>
      </c>
      <c r="R239" s="203">
        <f>+(O239+3810.6)/12</f>
        <v>2523.9749999999999</v>
      </c>
      <c r="S239" s="203">
        <f t="shared" si="12"/>
        <v>2523.9749999999999</v>
      </c>
      <c r="T239" s="203">
        <v>200</v>
      </c>
      <c r="U239" s="206"/>
      <c r="V239" s="367"/>
      <c r="W239" s="367"/>
      <c r="X239" s="367"/>
      <c r="Y239" s="367"/>
      <c r="Z239" s="367"/>
      <c r="AA239" s="133"/>
      <c r="AB239" s="133"/>
      <c r="AC239" s="133"/>
      <c r="AD239" s="133"/>
    </row>
    <row r="240" spans="1:30" ht="22.5">
      <c r="A240" s="3" t="s">
        <v>923</v>
      </c>
      <c r="B240" s="368" t="s">
        <v>619</v>
      </c>
      <c r="C240" s="370">
        <v>1</v>
      </c>
      <c r="D240" s="140">
        <v>72.540000000000006</v>
      </c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0">
        <v>26477.1</v>
      </c>
      <c r="P240" s="138"/>
      <c r="Q240" s="139">
        <f>3000+3810.6</f>
        <v>6810.6</v>
      </c>
      <c r="R240" s="203">
        <f>+(O240+3810.6)/12</f>
        <v>2523.9749999999999</v>
      </c>
      <c r="S240" s="203">
        <f t="shared" si="12"/>
        <v>2523.9749999999999</v>
      </c>
      <c r="T240" s="203">
        <v>200</v>
      </c>
      <c r="U240" s="206"/>
      <c r="V240" s="367"/>
      <c r="W240" s="367"/>
      <c r="X240" s="367"/>
      <c r="Y240" s="367"/>
      <c r="Z240" s="367"/>
      <c r="AA240" s="133"/>
      <c r="AB240" s="133"/>
      <c r="AC240" s="133"/>
      <c r="AD240" s="133"/>
    </row>
    <row r="241" spans="1:30" ht="22.5">
      <c r="A241" s="3" t="s">
        <v>923</v>
      </c>
      <c r="B241" s="368" t="s">
        <v>619</v>
      </c>
      <c r="C241" s="370">
        <v>2</v>
      </c>
      <c r="D241" s="140">
        <v>36.270000000000003</v>
      </c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0">
        <v>26477.1</v>
      </c>
      <c r="P241" s="138">
        <v>300</v>
      </c>
      <c r="Q241" s="139">
        <f>3000+3810.6</f>
        <v>6810.6</v>
      </c>
      <c r="R241" s="203">
        <f>+(O241+3810.6)/12</f>
        <v>2523.9749999999999</v>
      </c>
      <c r="S241" s="203">
        <f t="shared" si="12"/>
        <v>2523.9749999999999</v>
      </c>
      <c r="T241" s="203">
        <v>200</v>
      </c>
      <c r="U241" s="206"/>
      <c r="V241" s="367"/>
      <c r="W241" s="367"/>
      <c r="X241" s="367"/>
      <c r="Y241" s="367"/>
      <c r="Z241" s="367"/>
      <c r="AA241" s="133"/>
      <c r="AB241" s="133"/>
      <c r="AC241" s="133"/>
      <c r="AD241" s="133"/>
    </row>
    <row r="242" spans="1:30" ht="22.5">
      <c r="A242" s="3" t="s">
        <v>923</v>
      </c>
      <c r="B242" s="368" t="s">
        <v>619</v>
      </c>
      <c r="C242" s="370">
        <v>1</v>
      </c>
      <c r="D242" s="141">
        <v>36.270000000000003</v>
      </c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0">
        <v>13238.55</v>
      </c>
      <c r="P242" s="138">
        <v>300</v>
      </c>
      <c r="Q242" s="139">
        <f>1500+1905.3</f>
        <v>3405.3</v>
      </c>
      <c r="R242" s="203">
        <f>+(O242+1905.03)/12</f>
        <v>1261.9649999999999</v>
      </c>
      <c r="S242" s="203">
        <f t="shared" si="12"/>
        <v>1261.9649999999999</v>
      </c>
      <c r="T242" s="203">
        <v>200</v>
      </c>
      <c r="U242" s="206"/>
      <c r="V242" s="367"/>
      <c r="W242" s="367"/>
      <c r="X242" s="367"/>
      <c r="Y242" s="367"/>
      <c r="Z242" s="367"/>
      <c r="AA242" s="133"/>
      <c r="AB242" s="133"/>
      <c r="AC242" s="133"/>
      <c r="AD242" s="133"/>
    </row>
    <row r="243" spans="1:30" ht="22.5">
      <c r="A243" s="3" t="s">
        <v>923</v>
      </c>
      <c r="B243" s="368" t="s">
        <v>619</v>
      </c>
      <c r="C243" s="370">
        <v>1</v>
      </c>
      <c r="D243" s="141">
        <v>36.270000000000003</v>
      </c>
      <c r="E243" s="147"/>
      <c r="F243" s="147"/>
      <c r="G243" s="147"/>
      <c r="H243" s="147"/>
      <c r="I243" s="147"/>
      <c r="J243" s="147"/>
      <c r="K243" s="147"/>
      <c r="L243" s="147"/>
      <c r="M243" s="147"/>
      <c r="N243" s="147"/>
      <c r="O243" s="140">
        <v>13238.55</v>
      </c>
      <c r="P243" s="138"/>
      <c r="Q243" s="139">
        <f>1500+1905.3</f>
        <v>3405.3</v>
      </c>
      <c r="R243" s="203">
        <f>+(O243+1905.03)/12</f>
        <v>1261.9649999999999</v>
      </c>
      <c r="S243" s="203">
        <f t="shared" si="12"/>
        <v>1261.9649999999999</v>
      </c>
      <c r="T243" s="203">
        <v>200</v>
      </c>
      <c r="U243" s="206"/>
      <c r="V243" s="367"/>
      <c r="W243" s="367"/>
      <c r="X243" s="367"/>
      <c r="Y243" s="367"/>
      <c r="Z243" s="367"/>
      <c r="AA243" s="133"/>
      <c r="AB243" s="133"/>
      <c r="AC243" s="133"/>
      <c r="AD243" s="133"/>
    </row>
    <row r="244" spans="1:30" ht="22.5">
      <c r="A244" s="3" t="s">
        <v>923</v>
      </c>
      <c r="B244" s="368" t="s">
        <v>619</v>
      </c>
      <c r="C244" s="370">
        <v>1</v>
      </c>
      <c r="D244" s="141">
        <v>72.540000000000006</v>
      </c>
      <c r="E244" s="147"/>
      <c r="F244" s="147"/>
      <c r="G244" s="147"/>
      <c r="H244" s="147"/>
      <c r="I244" s="147"/>
      <c r="J244" s="147"/>
      <c r="K244" s="147"/>
      <c r="L244" s="147"/>
      <c r="M244" s="147"/>
      <c r="N244" s="147"/>
      <c r="O244" s="140">
        <v>26477.1</v>
      </c>
      <c r="P244" s="138">
        <v>600</v>
      </c>
      <c r="Q244" s="139">
        <f>3000+3810.6</f>
        <v>6810.6</v>
      </c>
      <c r="R244" s="203">
        <f>+(O244+3810.6)/12</f>
        <v>2523.9749999999999</v>
      </c>
      <c r="S244" s="203">
        <f t="shared" si="12"/>
        <v>2523.9749999999999</v>
      </c>
      <c r="T244" s="203">
        <v>200</v>
      </c>
      <c r="U244" s="206"/>
      <c r="V244" s="367"/>
      <c r="W244" s="367"/>
      <c r="X244" s="367"/>
      <c r="Y244" s="367"/>
      <c r="Z244" s="367"/>
      <c r="AA244" s="133"/>
      <c r="AB244" s="133"/>
      <c r="AC244" s="133"/>
      <c r="AD244" s="133"/>
    </row>
    <row r="245" spans="1:30" ht="22.5">
      <c r="A245" s="3" t="s">
        <v>923</v>
      </c>
      <c r="B245" s="368" t="s">
        <v>619</v>
      </c>
      <c r="C245" s="370">
        <v>2</v>
      </c>
      <c r="D245" s="141">
        <v>36.270000000000003</v>
      </c>
      <c r="E245" s="147"/>
      <c r="F245" s="147"/>
      <c r="G245" s="147"/>
      <c r="H245" s="147"/>
      <c r="I245" s="147"/>
      <c r="J245" s="147"/>
      <c r="K245" s="147"/>
      <c r="L245" s="147"/>
      <c r="M245" s="147"/>
      <c r="N245" s="147"/>
      <c r="O245" s="140">
        <v>26477.1</v>
      </c>
      <c r="P245" s="138">
        <v>735.12</v>
      </c>
      <c r="Q245" s="139">
        <f>3000+3810.6</f>
        <v>6810.6</v>
      </c>
      <c r="R245" s="203">
        <f>+(O245+3810.6)/12</f>
        <v>2523.9749999999999</v>
      </c>
      <c r="S245" s="203">
        <f t="shared" si="12"/>
        <v>2523.9749999999999</v>
      </c>
      <c r="T245" s="203">
        <v>200</v>
      </c>
      <c r="U245" s="206"/>
      <c r="V245" s="367"/>
      <c r="W245" s="367"/>
      <c r="X245" s="367"/>
      <c r="Y245" s="367"/>
      <c r="Z245" s="367"/>
      <c r="AA245" s="133"/>
      <c r="AB245" s="133"/>
      <c r="AC245" s="133"/>
      <c r="AD245" s="133"/>
    </row>
    <row r="246" spans="1:30" ht="22.5">
      <c r="A246" s="3" t="s">
        <v>923</v>
      </c>
      <c r="B246" s="368" t="s">
        <v>619</v>
      </c>
      <c r="C246" s="370">
        <v>1</v>
      </c>
      <c r="D246" s="141">
        <v>72.540000000000006</v>
      </c>
      <c r="E246" s="147"/>
      <c r="F246" s="147"/>
      <c r="G246" s="147"/>
      <c r="H246" s="147"/>
      <c r="I246" s="147"/>
      <c r="J246" s="147"/>
      <c r="K246" s="147"/>
      <c r="L246" s="147"/>
      <c r="M246" s="147"/>
      <c r="N246" s="147"/>
      <c r="O246" s="140">
        <v>26477.1</v>
      </c>
      <c r="P246" s="138"/>
      <c r="Q246" s="139">
        <f>3000+3810.6</f>
        <v>6810.6</v>
      </c>
      <c r="R246" s="203">
        <f>+(O246+3810.6)/12</f>
        <v>2523.9749999999999</v>
      </c>
      <c r="S246" s="203">
        <f t="shared" si="12"/>
        <v>2523.9749999999999</v>
      </c>
      <c r="T246" s="203">
        <v>200</v>
      </c>
      <c r="U246" s="206"/>
      <c r="V246" s="367"/>
      <c r="W246" s="367"/>
      <c r="X246" s="367"/>
      <c r="Y246" s="367"/>
      <c r="Z246" s="367"/>
      <c r="AA246" s="133"/>
      <c r="AB246" s="133"/>
      <c r="AC246" s="133"/>
      <c r="AD246" s="133"/>
    </row>
    <row r="247" spans="1:30" ht="22.5">
      <c r="A247" s="3" t="s">
        <v>923</v>
      </c>
      <c r="B247" s="368" t="s">
        <v>619</v>
      </c>
      <c r="C247" s="370">
        <v>1</v>
      </c>
      <c r="D247" s="141">
        <v>72.540000000000006</v>
      </c>
      <c r="E247" s="147"/>
      <c r="F247" s="147"/>
      <c r="G247" s="147"/>
      <c r="H247" s="147"/>
      <c r="I247" s="147"/>
      <c r="J247" s="147"/>
      <c r="K247" s="147"/>
      <c r="L247" s="147"/>
      <c r="M247" s="147"/>
      <c r="N247" s="147"/>
      <c r="O247" s="140">
        <v>26477.1</v>
      </c>
      <c r="P247" s="138"/>
      <c r="Q247" s="139">
        <f>3000+3810.6</f>
        <v>6810.6</v>
      </c>
      <c r="R247" s="203">
        <f>+(O247+3810.6)/12</f>
        <v>2523.9749999999999</v>
      </c>
      <c r="S247" s="203">
        <f t="shared" si="12"/>
        <v>2523.9749999999999</v>
      </c>
      <c r="T247" s="203">
        <v>200</v>
      </c>
      <c r="U247" s="206"/>
      <c r="V247" s="367"/>
      <c r="W247" s="367"/>
      <c r="X247" s="367"/>
      <c r="Y247" s="367"/>
      <c r="Z247" s="367"/>
      <c r="AA247" s="133"/>
      <c r="AB247" s="133"/>
      <c r="AC247" s="133"/>
      <c r="AD247" s="133"/>
    </row>
    <row r="248" spans="1:30" ht="22.5">
      <c r="A248" s="3" t="s">
        <v>923</v>
      </c>
      <c r="B248" s="368" t="s">
        <v>619</v>
      </c>
      <c r="C248" s="370">
        <v>2</v>
      </c>
      <c r="D248" s="141">
        <v>36.270000000000003</v>
      </c>
      <c r="E248" s="147"/>
      <c r="F248" s="147"/>
      <c r="G248" s="147"/>
      <c r="H248" s="147"/>
      <c r="I248" s="147"/>
      <c r="J248" s="147"/>
      <c r="K248" s="147"/>
      <c r="L248" s="147"/>
      <c r="M248" s="147"/>
      <c r="N248" s="147"/>
      <c r="O248" s="140">
        <v>26477.1</v>
      </c>
      <c r="P248" s="138"/>
      <c r="Q248" s="139">
        <f>3000+3810.6</f>
        <v>6810.6</v>
      </c>
      <c r="R248" s="203">
        <f>+(O248+3810.6)/12</f>
        <v>2523.9749999999999</v>
      </c>
      <c r="S248" s="203">
        <f t="shared" si="12"/>
        <v>2523.9749999999999</v>
      </c>
      <c r="T248" s="203">
        <v>200</v>
      </c>
      <c r="U248" s="206"/>
      <c r="V248" s="367"/>
      <c r="W248" s="367"/>
      <c r="X248" s="367"/>
      <c r="Y248" s="367"/>
      <c r="Z248" s="367"/>
      <c r="AA248" s="133"/>
      <c r="AB248" s="133"/>
      <c r="AC248" s="133"/>
      <c r="AD248" s="133"/>
    </row>
    <row r="249" spans="1:30" ht="23.25" thickBot="1">
      <c r="A249" s="145" t="s">
        <v>923</v>
      </c>
      <c r="B249" s="376" t="s">
        <v>619</v>
      </c>
      <c r="C249" s="377">
        <v>1</v>
      </c>
      <c r="D249" s="143">
        <v>36.270000000000003</v>
      </c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4">
        <v>13238.55</v>
      </c>
      <c r="P249" s="146">
        <v>300</v>
      </c>
      <c r="Q249" s="146">
        <f>1500+1905.3</f>
        <v>3405.3</v>
      </c>
      <c r="R249" s="205">
        <f>+(O249+1905.03)/12</f>
        <v>1261.9649999999999</v>
      </c>
      <c r="S249" s="205">
        <f t="shared" si="12"/>
        <v>1261.9649999999999</v>
      </c>
      <c r="T249" s="205">
        <v>100</v>
      </c>
      <c r="U249" s="208"/>
      <c r="V249" s="367"/>
      <c r="W249" s="367"/>
      <c r="X249" s="367"/>
      <c r="Y249" s="367"/>
      <c r="Z249" s="367"/>
      <c r="AA249" s="133"/>
      <c r="AB249" s="133"/>
      <c r="AC249" s="133"/>
      <c r="AD249" s="133"/>
    </row>
    <row r="250" spans="1:30" ht="15.75" thickBot="1">
      <c r="A250" s="145" t="s">
        <v>1029</v>
      </c>
      <c r="B250" s="376" t="s">
        <v>619</v>
      </c>
      <c r="C250" s="377">
        <v>1</v>
      </c>
      <c r="D250" s="143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4"/>
      <c r="P250" s="146"/>
      <c r="Q250" s="146"/>
      <c r="R250" s="205"/>
      <c r="S250" s="205"/>
      <c r="T250" s="205"/>
      <c r="U250" s="208">
        <v>80000</v>
      </c>
      <c r="V250" s="367"/>
      <c r="W250" s="367"/>
      <c r="X250" s="367"/>
      <c r="Y250" s="367"/>
      <c r="Z250" s="367"/>
      <c r="AA250" s="133"/>
      <c r="AB250" s="133"/>
      <c r="AC250" s="133"/>
      <c r="AD250" s="133"/>
    </row>
    <row r="251" spans="1:30" ht="15.75" thickBot="1">
      <c r="A251" s="964"/>
      <c r="B251" s="965"/>
      <c r="C251" s="965"/>
      <c r="D251" s="966"/>
      <c r="E251" s="378">
        <f t="shared" ref="E251:T251" si="13">SUM(E8:E250)</f>
        <v>13620</v>
      </c>
      <c r="F251" s="378">
        <f t="shared" si="13"/>
        <v>0</v>
      </c>
      <c r="G251" s="378">
        <f t="shared" si="13"/>
        <v>900</v>
      </c>
      <c r="H251" s="378">
        <f t="shared" si="13"/>
        <v>0</v>
      </c>
      <c r="I251" s="378">
        <f t="shared" si="13"/>
        <v>7800</v>
      </c>
      <c r="J251" s="378">
        <f t="shared" si="13"/>
        <v>594000</v>
      </c>
      <c r="K251" s="378">
        <f t="shared" si="13"/>
        <v>996000</v>
      </c>
      <c r="L251" s="378">
        <f t="shared" si="13"/>
        <v>22500</v>
      </c>
      <c r="M251" s="378">
        <f t="shared" si="13"/>
        <v>195000</v>
      </c>
      <c r="N251" s="378">
        <f t="shared" si="13"/>
        <v>9350556</v>
      </c>
      <c r="O251" s="378">
        <f t="shared" si="13"/>
        <v>4689133.0999999931</v>
      </c>
      <c r="P251" s="378">
        <f t="shared" si="13"/>
        <v>38637.68</v>
      </c>
      <c r="Q251" s="378">
        <f t="shared" si="13"/>
        <v>1183495.5600000019</v>
      </c>
      <c r="R251" s="378">
        <f t="shared" si="13"/>
        <v>599285.01666666672</v>
      </c>
      <c r="S251" s="378">
        <f t="shared" si="13"/>
        <v>599285.01666666672</v>
      </c>
      <c r="T251" s="378">
        <f t="shared" si="13"/>
        <v>38450</v>
      </c>
      <c r="U251" s="378">
        <f>SUM(U8:U250)</f>
        <v>230000</v>
      </c>
      <c r="V251" s="372"/>
      <c r="W251" s="367"/>
      <c r="X251" s="367"/>
      <c r="Y251" s="367"/>
      <c r="Z251" s="367"/>
      <c r="AA251" s="133"/>
      <c r="AB251" s="133"/>
      <c r="AC251" s="133"/>
      <c r="AD251" s="133"/>
    </row>
    <row r="252" spans="1:30" ht="15.75" thickBot="1">
      <c r="A252" s="967" t="s">
        <v>1030</v>
      </c>
      <c r="B252" s="968"/>
      <c r="C252" s="968"/>
      <c r="D252" s="968"/>
      <c r="E252" s="968"/>
      <c r="F252" s="968"/>
      <c r="G252" s="968"/>
      <c r="H252" s="968"/>
      <c r="I252" s="968"/>
      <c r="J252" s="968"/>
      <c r="K252" s="968"/>
      <c r="L252" s="968"/>
      <c r="M252" s="968"/>
      <c r="N252" s="968"/>
      <c r="O252" s="968"/>
      <c r="P252" s="968"/>
      <c r="Q252" s="968"/>
      <c r="R252" s="968"/>
      <c r="S252" s="968"/>
      <c r="T252" s="969"/>
      <c r="U252" s="581">
        <f>U251+T251+S251+R251+Q251+P251+O251+N251+M251+L251+K251+J251+I251+H251+G251+F251+E251</f>
        <v>18558662.373333327</v>
      </c>
      <c r="V252" s="367"/>
      <c r="W252" s="367"/>
      <c r="X252" s="367"/>
      <c r="Y252" s="367"/>
      <c r="Z252" s="367"/>
      <c r="AA252" s="367"/>
      <c r="AB252" s="367"/>
      <c r="AC252" s="367"/>
      <c r="AD252" s="367"/>
    </row>
    <row r="253" spans="1:30">
      <c r="A253" s="367"/>
      <c r="B253" s="367"/>
      <c r="C253" s="367"/>
      <c r="D253" s="367"/>
      <c r="E253" s="367"/>
      <c r="F253" s="367"/>
      <c r="G253" s="367"/>
      <c r="H253" s="367"/>
      <c r="I253" s="367"/>
      <c r="J253" s="367"/>
      <c r="K253" s="367"/>
      <c r="L253" s="367"/>
      <c r="M253" s="367"/>
      <c r="N253" s="367"/>
      <c r="O253" s="367"/>
      <c r="P253" s="367"/>
      <c r="Q253" s="367"/>
      <c r="R253" s="367"/>
      <c r="S253" s="367"/>
      <c r="T253" s="367"/>
      <c r="U253" s="367"/>
      <c r="V253" s="372"/>
      <c r="W253" s="367"/>
      <c r="X253" s="367"/>
      <c r="Y253" s="367"/>
      <c r="Z253" s="367"/>
      <c r="AA253" s="367"/>
      <c r="AB253" s="367"/>
      <c r="AC253" s="367"/>
      <c r="AD253" s="367"/>
    </row>
    <row r="254" spans="1:30">
      <c r="A254" s="367"/>
      <c r="B254" s="367"/>
      <c r="C254" s="367"/>
      <c r="D254" s="367"/>
      <c r="E254" s="372"/>
      <c r="F254" s="372"/>
      <c r="G254" s="372"/>
      <c r="H254" s="372"/>
      <c r="I254" s="372"/>
      <c r="J254" s="372"/>
      <c r="K254" s="372"/>
      <c r="L254" s="372"/>
      <c r="M254" s="372"/>
      <c r="N254" s="372"/>
      <c r="O254" s="372"/>
      <c r="P254" s="372"/>
      <c r="Q254" s="372"/>
      <c r="R254" s="372"/>
      <c r="S254" s="372"/>
      <c r="T254" s="372"/>
      <c r="U254" s="372"/>
      <c r="V254" s="367"/>
      <c r="W254" s="367"/>
      <c r="X254" s="367"/>
      <c r="Y254" s="367"/>
      <c r="Z254" s="367"/>
      <c r="AA254" s="367"/>
      <c r="AB254" s="367"/>
      <c r="AC254" s="367"/>
      <c r="AD254" s="367"/>
    </row>
  </sheetData>
  <mergeCells count="10">
    <mergeCell ref="A251:D251"/>
    <mergeCell ref="A252:T252"/>
    <mergeCell ref="A2:G2"/>
    <mergeCell ref="A3:G3"/>
    <mergeCell ref="A4:G4"/>
    <mergeCell ref="A5:A7"/>
    <mergeCell ref="B5:B7"/>
    <mergeCell ref="C5:C7"/>
    <mergeCell ref="D5:D7"/>
    <mergeCell ref="E5:U6"/>
  </mergeCells>
  <pageMargins left="0.70866141732283472" right="0.70866141732283472" top="0.74803149606299213" bottom="0.74803149606299213" header="0.31496062992125984" footer="0.31496062992125984"/>
  <pageSetup paperSize="17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view="pageBreakPreview" zoomScale="95" zoomScaleNormal="100" zoomScaleSheetLayoutView="95" workbookViewId="0">
      <selection activeCell="C18" sqref="C18"/>
    </sheetView>
  </sheetViews>
  <sheetFormatPr baseColWidth="10" defaultRowHeight="15"/>
  <cols>
    <col min="1" max="1" width="22.42578125" customWidth="1"/>
    <col min="2" max="2" width="18.7109375" customWidth="1"/>
    <col min="3" max="3" width="17.28515625" style="245" customWidth="1"/>
    <col min="4" max="4" width="19" customWidth="1"/>
    <col min="5" max="6" width="11.42578125" style="245"/>
    <col min="7" max="7" width="13" style="245" customWidth="1"/>
    <col min="8" max="8" width="14.28515625" style="245" customWidth="1"/>
    <col min="9" max="10" width="13.42578125" style="245" bestFit="1" customWidth="1"/>
    <col min="11" max="11" width="13.7109375" style="245" customWidth="1"/>
    <col min="12" max="12" width="19" style="245" bestFit="1" customWidth="1"/>
  </cols>
  <sheetData>
    <row r="1" spans="1:12">
      <c r="A1" s="130" t="s">
        <v>25</v>
      </c>
      <c r="B1" s="128"/>
      <c r="C1" s="244"/>
      <c r="D1" s="128"/>
    </row>
    <row r="2" spans="1:12">
      <c r="A2" s="130" t="s">
        <v>689</v>
      </c>
      <c r="B2" s="128"/>
      <c r="C2" s="244"/>
      <c r="D2" s="128"/>
    </row>
    <row r="3" spans="1:12">
      <c r="A3" s="130" t="s">
        <v>471</v>
      </c>
      <c r="B3" s="128"/>
      <c r="C3" s="244"/>
      <c r="D3" s="128"/>
    </row>
    <row r="4" spans="1:12" ht="15.75" thickBot="1">
      <c r="A4" s="843" t="s">
        <v>472</v>
      </c>
      <c r="B4" s="843"/>
      <c r="C4" s="843"/>
      <c r="D4" s="843"/>
    </row>
    <row r="5" spans="1:12" ht="15" customHeight="1">
      <c r="A5" s="988" t="s">
        <v>462</v>
      </c>
      <c r="B5" s="997" t="s">
        <v>36</v>
      </c>
      <c r="C5" s="991" t="s">
        <v>37</v>
      </c>
      <c r="D5" s="994" t="s">
        <v>38</v>
      </c>
      <c r="E5" s="982" t="s">
        <v>30</v>
      </c>
      <c r="F5" s="982"/>
      <c r="G5" s="982"/>
      <c r="H5" s="982"/>
      <c r="I5" s="982"/>
      <c r="J5" s="982"/>
      <c r="K5" s="982"/>
      <c r="L5" s="983"/>
    </row>
    <row r="6" spans="1:12" ht="15.75" customHeight="1">
      <c r="A6" s="989"/>
      <c r="B6" s="998"/>
      <c r="C6" s="992"/>
      <c r="D6" s="995"/>
      <c r="E6" s="984"/>
      <c r="F6" s="984"/>
      <c r="G6" s="984"/>
      <c r="H6" s="984"/>
      <c r="I6" s="984"/>
      <c r="J6" s="984"/>
      <c r="K6" s="984"/>
      <c r="L6" s="985"/>
    </row>
    <row r="7" spans="1:12" ht="15.75" thickBot="1">
      <c r="A7" s="990"/>
      <c r="B7" s="999"/>
      <c r="C7" s="993"/>
      <c r="D7" s="996"/>
      <c r="E7" s="734">
        <v>22</v>
      </c>
      <c r="F7" s="734">
        <v>26</v>
      </c>
      <c r="G7" s="734">
        <v>27</v>
      </c>
      <c r="H7" s="734">
        <v>29</v>
      </c>
      <c r="I7" s="734">
        <v>71</v>
      </c>
      <c r="J7" s="734">
        <v>72</v>
      </c>
      <c r="K7" s="734">
        <v>73</v>
      </c>
      <c r="L7" s="735">
        <v>419</v>
      </c>
    </row>
    <row r="8" spans="1:12">
      <c r="A8" s="727" t="s">
        <v>59</v>
      </c>
      <c r="B8" s="728">
        <v>1</v>
      </c>
      <c r="C8" s="729">
        <v>25000</v>
      </c>
      <c r="D8" s="730" t="s">
        <v>647</v>
      </c>
      <c r="E8" s="729">
        <v>300000</v>
      </c>
      <c r="F8" s="729">
        <v>4500</v>
      </c>
      <c r="G8" s="729">
        <v>3000</v>
      </c>
      <c r="H8" s="731"/>
      <c r="I8" s="729">
        <v>1058857</v>
      </c>
      <c r="J8" s="729">
        <v>1058857</v>
      </c>
      <c r="K8" s="732">
        <v>200</v>
      </c>
      <c r="L8" s="733"/>
    </row>
    <row r="9" spans="1:12" ht="22.5">
      <c r="A9" s="2" t="s">
        <v>575</v>
      </c>
      <c r="B9" s="134">
        <v>1</v>
      </c>
      <c r="C9" s="246">
        <v>15000</v>
      </c>
      <c r="D9" s="135" t="s">
        <v>647</v>
      </c>
      <c r="E9" s="247"/>
      <c r="F9" s="247"/>
      <c r="G9" s="247"/>
      <c r="H9" s="246">
        <v>180000</v>
      </c>
      <c r="I9" s="247"/>
      <c r="J9" s="247"/>
      <c r="K9" s="248"/>
      <c r="L9" s="249"/>
    </row>
    <row r="10" spans="1:12" ht="22.5">
      <c r="A10" s="2" t="s">
        <v>575</v>
      </c>
      <c r="B10" s="134">
        <v>1</v>
      </c>
      <c r="C10" s="246">
        <v>10500</v>
      </c>
      <c r="D10" s="135" t="s">
        <v>647</v>
      </c>
      <c r="E10" s="247"/>
      <c r="F10" s="247"/>
      <c r="G10" s="247"/>
      <c r="H10" s="246">
        <v>126000</v>
      </c>
      <c r="I10" s="247"/>
      <c r="J10" s="247"/>
      <c r="K10" s="248"/>
      <c r="L10" s="249"/>
    </row>
    <row r="11" spans="1:12" ht="22.5">
      <c r="A11" s="2" t="s">
        <v>649</v>
      </c>
      <c r="B11" s="134">
        <v>1</v>
      </c>
      <c r="C11" s="246">
        <v>10000</v>
      </c>
      <c r="D11" s="135" t="s">
        <v>647</v>
      </c>
      <c r="E11" s="247"/>
      <c r="F11" s="247"/>
      <c r="G11" s="247"/>
      <c r="H11" s="246">
        <v>120000</v>
      </c>
      <c r="I11" s="247"/>
      <c r="J11" s="247"/>
      <c r="K11" s="248"/>
      <c r="L11" s="249"/>
    </row>
    <row r="12" spans="1:12" ht="45">
      <c r="A12" s="2" t="s">
        <v>650</v>
      </c>
      <c r="B12" s="134">
        <v>1</v>
      </c>
      <c r="C12" s="154">
        <v>10960</v>
      </c>
      <c r="D12" s="136" t="s">
        <v>647</v>
      </c>
      <c r="E12" s="247"/>
      <c r="F12" s="247"/>
      <c r="G12" s="247"/>
      <c r="H12" s="246">
        <v>131520</v>
      </c>
      <c r="I12" s="247"/>
      <c r="J12" s="247"/>
      <c r="K12" s="248"/>
      <c r="L12" s="249"/>
    </row>
    <row r="13" spans="1:12" ht="33.75">
      <c r="A13" s="2" t="s">
        <v>651</v>
      </c>
      <c r="B13" s="134">
        <v>1</v>
      </c>
      <c r="C13" s="246">
        <v>10960</v>
      </c>
      <c r="D13" s="135" t="s">
        <v>647</v>
      </c>
      <c r="E13" s="247"/>
      <c r="F13" s="247"/>
      <c r="G13" s="247"/>
      <c r="H13" s="246">
        <v>131520</v>
      </c>
      <c r="I13" s="247"/>
      <c r="J13" s="247"/>
      <c r="K13" s="248"/>
      <c r="L13" s="249"/>
    </row>
    <row r="14" spans="1:12" ht="33.75">
      <c r="A14" s="2" t="s">
        <v>652</v>
      </c>
      <c r="B14" s="134">
        <v>1</v>
      </c>
      <c r="C14" s="246">
        <v>10960</v>
      </c>
      <c r="D14" s="135" t="s">
        <v>647</v>
      </c>
      <c r="E14" s="247"/>
      <c r="F14" s="247"/>
      <c r="G14" s="247"/>
      <c r="H14" s="246">
        <v>131520</v>
      </c>
      <c r="I14" s="247"/>
      <c r="J14" s="247"/>
      <c r="K14" s="248"/>
      <c r="L14" s="249"/>
    </row>
    <row r="15" spans="1:12" ht="33.75">
      <c r="A15" s="2" t="s">
        <v>653</v>
      </c>
      <c r="B15" s="134">
        <v>1</v>
      </c>
      <c r="C15" s="246">
        <v>10960</v>
      </c>
      <c r="D15" s="135" t="s">
        <v>647</v>
      </c>
      <c r="E15" s="247"/>
      <c r="F15" s="247"/>
      <c r="G15" s="247"/>
      <c r="H15" s="246">
        <v>131520</v>
      </c>
      <c r="I15" s="247"/>
      <c r="J15" s="247"/>
      <c r="K15" s="248"/>
      <c r="L15" s="249"/>
    </row>
    <row r="16" spans="1:12" ht="45">
      <c r="A16" s="2" t="s">
        <v>654</v>
      </c>
      <c r="B16" s="134">
        <v>1</v>
      </c>
      <c r="C16" s="154">
        <v>10500</v>
      </c>
      <c r="D16" s="136" t="s">
        <v>647</v>
      </c>
      <c r="E16" s="247"/>
      <c r="F16" s="247"/>
      <c r="G16" s="247"/>
      <c r="H16" s="246">
        <v>126000</v>
      </c>
      <c r="I16" s="247"/>
      <c r="J16" s="247"/>
      <c r="K16" s="248"/>
      <c r="L16" s="249"/>
    </row>
    <row r="17" spans="1:12" ht="33.75">
      <c r="A17" s="2" t="s">
        <v>655</v>
      </c>
      <c r="B17" s="134">
        <v>1</v>
      </c>
      <c r="C17" s="246">
        <v>13000</v>
      </c>
      <c r="D17" s="135" t="s">
        <v>647</v>
      </c>
      <c r="E17" s="247"/>
      <c r="F17" s="247"/>
      <c r="G17" s="247"/>
      <c r="H17" s="246">
        <v>156000</v>
      </c>
      <c r="I17" s="247"/>
      <c r="J17" s="247"/>
      <c r="K17" s="248"/>
      <c r="L17" s="249"/>
    </row>
    <row r="18" spans="1:12" ht="22.5">
      <c r="A18" s="2" t="s">
        <v>656</v>
      </c>
      <c r="B18" s="134">
        <v>1</v>
      </c>
      <c r="C18" s="246">
        <v>9960</v>
      </c>
      <c r="D18" s="135" t="s">
        <v>647</v>
      </c>
      <c r="E18" s="247"/>
      <c r="F18" s="247"/>
      <c r="G18" s="247"/>
      <c r="H18" s="246">
        <v>119520</v>
      </c>
      <c r="I18" s="247"/>
      <c r="J18" s="247"/>
      <c r="K18" s="248"/>
      <c r="L18" s="249"/>
    </row>
    <row r="19" spans="1:12" ht="22.5">
      <c r="A19" s="2" t="s">
        <v>657</v>
      </c>
      <c r="B19" s="134">
        <v>1</v>
      </c>
      <c r="C19" s="246">
        <v>9960</v>
      </c>
      <c r="D19" s="135" t="s">
        <v>647</v>
      </c>
      <c r="E19" s="247"/>
      <c r="F19" s="247"/>
      <c r="G19" s="247"/>
      <c r="H19" s="246">
        <v>119520</v>
      </c>
      <c r="I19" s="247"/>
      <c r="J19" s="247"/>
      <c r="K19" s="248"/>
      <c r="L19" s="249"/>
    </row>
    <row r="20" spans="1:12" ht="33.75">
      <c r="A20" s="2" t="s">
        <v>658</v>
      </c>
      <c r="B20" s="134">
        <v>1</v>
      </c>
      <c r="C20" s="246">
        <v>9960</v>
      </c>
      <c r="D20" s="135" t="s">
        <v>647</v>
      </c>
      <c r="E20" s="247"/>
      <c r="F20" s="247"/>
      <c r="G20" s="247"/>
      <c r="H20" s="246">
        <v>119520</v>
      </c>
      <c r="I20" s="247"/>
      <c r="J20" s="247"/>
      <c r="K20" s="248"/>
      <c r="L20" s="249"/>
    </row>
    <row r="21" spans="1:12" ht="22.5">
      <c r="A21" s="2" t="s">
        <v>659</v>
      </c>
      <c r="B21" s="134">
        <v>1</v>
      </c>
      <c r="C21" s="246">
        <v>9960</v>
      </c>
      <c r="D21" s="135" t="s">
        <v>647</v>
      </c>
      <c r="E21" s="247"/>
      <c r="F21" s="247"/>
      <c r="G21" s="247"/>
      <c r="H21" s="246">
        <v>119520</v>
      </c>
      <c r="I21" s="247"/>
      <c r="J21" s="247"/>
      <c r="K21" s="248"/>
      <c r="L21" s="249"/>
    </row>
    <row r="22" spans="1:12" ht="22.5">
      <c r="A22" s="2" t="s">
        <v>660</v>
      </c>
      <c r="B22" s="134">
        <v>1</v>
      </c>
      <c r="C22" s="246">
        <v>8000</v>
      </c>
      <c r="D22" s="135" t="s">
        <v>647</v>
      </c>
      <c r="E22" s="247"/>
      <c r="F22" s="247"/>
      <c r="G22" s="247"/>
      <c r="H22" s="246">
        <v>96000</v>
      </c>
      <c r="I22" s="247"/>
      <c r="J22" s="247"/>
      <c r="K22" s="248"/>
      <c r="L22" s="249"/>
    </row>
    <row r="23" spans="1:12" ht="22.5">
      <c r="A23" s="2" t="s">
        <v>661</v>
      </c>
      <c r="B23" s="134">
        <v>1</v>
      </c>
      <c r="C23" s="246">
        <v>8000</v>
      </c>
      <c r="D23" s="135" t="s">
        <v>647</v>
      </c>
      <c r="E23" s="247"/>
      <c r="F23" s="247"/>
      <c r="G23" s="247"/>
      <c r="H23" s="246">
        <v>96000</v>
      </c>
      <c r="I23" s="247"/>
      <c r="J23" s="247"/>
      <c r="K23" s="248"/>
      <c r="L23" s="249"/>
    </row>
    <row r="24" spans="1:12" ht="33.75">
      <c r="A24" s="2" t="s">
        <v>662</v>
      </c>
      <c r="B24" s="134">
        <v>1</v>
      </c>
      <c r="C24" s="246">
        <v>10960</v>
      </c>
      <c r="D24" s="135" t="s">
        <v>647</v>
      </c>
      <c r="E24" s="247"/>
      <c r="F24" s="247"/>
      <c r="G24" s="247"/>
      <c r="H24" s="246">
        <v>131520</v>
      </c>
      <c r="I24" s="247"/>
      <c r="J24" s="247"/>
      <c r="K24" s="248"/>
      <c r="L24" s="249"/>
    </row>
    <row r="25" spans="1:12" ht="22.5">
      <c r="A25" s="2" t="s">
        <v>661</v>
      </c>
      <c r="B25" s="134">
        <v>2</v>
      </c>
      <c r="C25" s="246">
        <v>7000</v>
      </c>
      <c r="D25" s="135" t="s">
        <v>647</v>
      </c>
      <c r="E25" s="247"/>
      <c r="F25" s="247"/>
      <c r="G25" s="247"/>
      <c r="H25" s="246">
        <v>168000</v>
      </c>
      <c r="I25" s="247"/>
      <c r="J25" s="247"/>
      <c r="K25" s="248"/>
      <c r="L25" s="249"/>
    </row>
    <row r="26" spans="1:12" ht="22.5">
      <c r="A26" s="2" t="s">
        <v>663</v>
      </c>
      <c r="B26" s="134">
        <v>1</v>
      </c>
      <c r="C26" s="246">
        <v>7000</v>
      </c>
      <c r="D26" s="135" t="s">
        <v>647</v>
      </c>
      <c r="E26" s="247"/>
      <c r="F26" s="247"/>
      <c r="G26" s="247"/>
      <c r="H26" s="246">
        <v>84000</v>
      </c>
      <c r="I26" s="247"/>
      <c r="J26" s="247"/>
      <c r="K26" s="248"/>
      <c r="L26" s="249"/>
    </row>
    <row r="27" spans="1:12" ht="22.5">
      <c r="A27" s="2" t="s">
        <v>664</v>
      </c>
      <c r="B27" s="134">
        <v>1</v>
      </c>
      <c r="C27" s="246">
        <v>8500</v>
      </c>
      <c r="D27" s="135" t="s">
        <v>647</v>
      </c>
      <c r="E27" s="247"/>
      <c r="F27" s="247"/>
      <c r="G27" s="247"/>
      <c r="H27" s="246">
        <v>102000</v>
      </c>
      <c r="I27" s="247"/>
      <c r="J27" s="247"/>
      <c r="K27" s="248"/>
      <c r="L27" s="249"/>
    </row>
    <row r="28" spans="1:12" ht="33.75">
      <c r="A28" s="2" t="s">
        <v>665</v>
      </c>
      <c r="B28" s="134">
        <v>1</v>
      </c>
      <c r="C28" s="246">
        <v>6500</v>
      </c>
      <c r="D28" s="135" t="s">
        <v>647</v>
      </c>
      <c r="E28" s="247"/>
      <c r="F28" s="247"/>
      <c r="G28" s="247"/>
      <c r="H28" s="246">
        <v>78000</v>
      </c>
      <c r="I28" s="247"/>
      <c r="J28" s="247"/>
      <c r="K28" s="248"/>
      <c r="L28" s="249"/>
    </row>
    <row r="29" spans="1:12" ht="33.75">
      <c r="A29" s="2" t="s">
        <v>666</v>
      </c>
      <c r="B29" s="134">
        <v>1</v>
      </c>
      <c r="C29" s="246">
        <v>7500</v>
      </c>
      <c r="D29" s="135" t="s">
        <v>647</v>
      </c>
      <c r="E29" s="247"/>
      <c r="F29" s="247"/>
      <c r="G29" s="247"/>
      <c r="H29" s="246">
        <v>90000</v>
      </c>
      <c r="I29" s="247"/>
      <c r="J29" s="247"/>
      <c r="K29" s="248"/>
      <c r="L29" s="249"/>
    </row>
    <row r="30" spans="1:12" ht="22.5">
      <c r="A30" s="2" t="s">
        <v>664</v>
      </c>
      <c r="B30" s="134">
        <v>1</v>
      </c>
      <c r="C30" s="246">
        <v>7000</v>
      </c>
      <c r="D30" s="135" t="s">
        <v>647</v>
      </c>
      <c r="E30" s="247"/>
      <c r="F30" s="247"/>
      <c r="G30" s="247"/>
      <c r="H30" s="246">
        <v>84000</v>
      </c>
      <c r="I30" s="247"/>
      <c r="J30" s="247"/>
      <c r="K30" s="248"/>
      <c r="L30" s="249"/>
    </row>
    <row r="31" spans="1:12" ht="22.5">
      <c r="A31" s="2" t="s">
        <v>667</v>
      </c>
      <c r="B31" s="134">
        <v>1</v>
      </c>
      <c r="C31" s="246">
        <v>7000</v>
      </c>
      <c r="D31" s="135" t="s">
        <v>647</v>
      </c>
      <c r="E31" s="247"/>
      <c r="F31" s="247"/>
      <c r="G31" s="247"/>
      <c r="H31" s="246">
        <v>84000</v>
      </c>
      <c r="I31" s="247"/>
      <c r="J31" s="247"/>
      <c r="K31" s="248"/>
      <c r="L31" s="249"/>
    </row>
    <row r="32" spans="1:12" ht="22.5">
      <c r="A32" s="2" t="s">
        <v>661</v>
      </c>
      <c r="B32" s="134">
        <v>2</v>
      </c>
      <c r="C32" s="246">
        <v>6420</v>
      </c>
      <c r="D32" s="135" t="s">
        <v>647</v>
      </c>
      <c r="E32" s="247"/>
      <c r="F32" s="247"/>
      <c r="G32" s="247"/>
      <c r="H32" s="246">
        <v>154080</v>
      </c>
      <c r="I32" s="247"/>
      <c r="J32" s="247"/>
      <c r="K32" s="248"/>
      <c r="L32" s="249"/>
    </row>
    <row r="33" spans="1:12" ht="22.5">
      <c r="A33" s="2" t="s">
        <v>668</v>
      </c>
      <c r="B33" s="134">
        <v>2</v>
      </c>
      <c r="C33" s="246">
        <v>6200</v>
      </c>
      <c r="D33" s="135" t="s">
        <v>647</v>
      </c>
      <c r="E33" s="247"/>
      <c r="F33" s="247"/>
      <c r="G33" s="247"/>
      <c r="H33" s="246">
        <v>148800</v>
      </c>
      <c r="I33" s="247"/>
      <c r="J33" s="247"/>
      <c r="K33" s="248"/>
      <c r="L33" s="249"/>
    </row>
    <row r="34" spans="1:12" ht="22.5">
      <c r="A34" s="2" t="s">
        <v>669</v>
      </c>
      <c r="B34" s="134">
        <v>1</v>
      </c>
      <c r="C34" s="246">
        <v>6000</v>
      </c>
      <c r="D34" s="135" t="s">
        <v>647</v>
      </c>
      <c r="E34" s="247"/>
      <c r="F34" s="247"/>
      <c r="G34" s="247"/>
      <c r="H34" s="246">
        <v>72000</v>
      </c>
      <c r="I34" s="247"/>
      <c r="J34" s="247"/>
      <c r="K34" s="248"/>
      <c r="L34" s="249"/>
    </row>
    <row r="35" spans="1:12" ht="22.5">
      <c r="A35" s="2" t="s">
        <v>660</v>
      </c>
      <c r="B35" s="134">
        <v>1</v>
      </c>
      <c r="C35" s="246">
        <v>6500</v>
      </c>
      <c r="D35" s="135" t="s">
        <v>647</v>
      </c>
      <c r="E35" s="247"/>
      <c r="F35" s="247"/>
      <c r="G35" s="247"/>
      <c r="H35" s="246">
        <v>78000</v>
      </c>
      <c r="I35" s="247"/>
      <c r="J35" s="247"/>
      <c r="K35" s="248"/>
      <c r="L35" s="249"/>
    </row>
    <row r="36" spans="1:12" ht="22.5">
      <c r="A36" s="2" t="s">
        <v>670</v>
      </c>
      <c r="B36" s="134">
        <v>1</v>
      </c>
      <c r="C36" s="246">
        <v>6000</v>
      </c>
      <c r="D36" s="135" t="s">
        <v>647</v>
      </c>
      <c r="E36" s="247"/>
      <c r="F36" s="247"/>
      <c r="G36" s="247"/>
      <c r="H36" s="246">
        <v>72000</v>
      </c>
      <c r="I36" s="247"/>
      <c r="J36" s="247"/>
      <c r="K36" s="248"/>
      <c r="L36" s="249"/>
    </row>
    <row r="37" spans="1:12" ht="22.5">
      <c r="A37" s="2" t="s">
        <v>669</v>
      </c>
      <c r="B37" s="134">
        <v>1</v>
      </c>
      <c r="C37" s="246">
        <v>7000</v>
      </c>
      <c r="D37" s="135" t="s">
        <v>647</v>
      </c>
      <c r="E37" s="247"/>
      <c r="F37" s="247"/>
      <c r="G37" s="247"/>
      <c r="H37" s="246">
        <v>84000</v>
      </c>
      <c r="I37" s="247"/>
      <c r="J37" s="247"/>
      <c r="K37" s="248"/>
      <c r="L37" s="249"/>
    </row>
    <row r="38" spans="1:12" ht="33.75">
      <c r="A38" s="2" t="s">
        <v>671</v>
      </c>
      <c r="B38" s="134">
        <v>1</v>
      </c>
      <c r="C38" s="246">
        <v>6500</v>
      </c>
      <c r="D38" s="135" t="s">
        <v>647</v>
      </c>
      <c r="E38" s="247"/>
      <c r="F38" s="247"/>
      <c r="G38" s="247"/>
      <c r="H38" s="246">
        <v>78000</v>
      </c>
      <c r="I38" s="247"/>
      <c r="J38" s="247"/>
      <c r="K38" s="248"/>
      <c r="L38" s="249"/>
    </row>
    <row r="39" spans="1:12" ht="22.5">
      <c r="A39" s="2" t="s">
        <v>669</v>
      </c>
      <c r="B39" s="134">
        <v>1</v>
      </c>
      <c r="C39" s="246">
        <v>5800</v>
      </c>
      <c r="D39" s="135" t="s">
        <v>647</v>
      </c>
      <c r="E39" s="247"/>
      <c r="F39" s="247"/>
      <c r="G39" s="247"/>
      <c r="H39" s="246">
        <v>69600</v>
      </c>
      <c r="I39" s="247"/>
      <c r="J39" s="247"/>
      <c r="K39" s="248"/>
      <c r="L39" s="249"/>
    </row>
    <row r="40" spans="1:12" ht="33.75">
      <c r="A40" s="2" t="s">
        <v>672</v>
      </c>
      <c r="B40" s="134">
        <v>1</v>
      </c>
      <c r="C40" s="246">
        <v>5500</v>
      </c>
      <c r="D40" s="135" t="s">
        <v>647</v>
      </c>
      <c r="E40" s="247"/>
      <c r="F40" s="247"/>
      <c r="G40" s="247"/>
      <c r="H40" s="246">
        <v>66000</v>
      </c>
      <c r="I40" s="247"/>
      <c r="J40" s="247"/>
      <c r="K40" s="248"/>
      <c r="L40" s="249"/>
    </row>
    <row r="41" spans="1:12" ht="33.75">
      <c r="A41" s="2" t="s">
        <v>666</v>
      </c>
      <c r="B41" s="134">
        <v>1</v>
      </c>
      <c r="C41" s="246">
        <v>5920</v>
      </c>
      <c r="D41" s="135" t="s">
        <v>647</v>
      </c>
      <c r="E41" s="247"/>
      <c r="F41" s="247"/>
      <c r="G41" s="247"/>
      <c r="H41" s="246">
        <v>71040</v>
      </c>
      <c r="I41" s="247"/>
      <c r="J41" s="247"/>
      <c r="K41" s="248"/>
      <c r="L41" s="249"/>
    </row>
    <row r="42" spans="1:12" ht="22.5">
      <c r="A42" s="2" t="s">
        <v>669</v>
      </c>
      <c r="B42" s="134">
        <v>2</v>
      </c>
      <c r="C42" s="246">
        <v>5000</v>
      </c>
      <c r="D42" s="135" t="s">
        <v>647</v>
      </c>
      <c r="E42" s="247"/>
      <c r="F42" s="247"/>
      <c r="G42" s="247"/>
      <c r="H42" s="246">
        <v>120000</v>
      </c>
      <c r="I42" s="247"/>
      <c r="J42" s="247"/>
      <c r="K42" s="248"/>
      <c r="L42" s="249"/>
    </row>
    <row r="43" spans="1:12" ht="33.75">
      <c r="A43" s="2" t="s">
        <v>673</v>
      </c>
      <c r="B43" s="134">
        <v>1</v>
      </c>
      <c r="C43" s="246">
        <v>4500</v>
      </c>
      <c r="D43" s="135" t="s">
        <v>647</v>
      </c>
      <c r="E43" s="247"/>
      <c r="F43" s="247"/>
      <c r="G43" s="247"/>
      <c r="H43" s="246">
        <v>54000</v>
      </c>
      <c r="I43" s="247"/>
      <c r="J43" s="247"/>
      <c r="K43" s="248"/>
      <c r="L43" s="249"/>
    </row>
    <row r="44" spans="1:12" ht="22.5">
      <c r="A44" s="2" t="s">
        <v>57</v>
      </c>
      <c r="B44" s="134">
        <v>2</v>
      </c>
      <c r="C44" s="246">
        <v>4920</v>
      </c>
      <c r="D44" s="135" t="s">
        <v>647</v>
      </c>
      <c r="E44" s="247"/>
      <c r="F44" s="247"/>
      <c r="G44" s="247"/>
      <c r="H44" s="246">
        <v>118080</v>
      </c>
      <c r="I44" s="247"/>
      <c r="J44" s="247"/>
      <c r="K44" s="248"/>
      <c r="L44" s="249"/>
    </row>
    <row r="45" spans="1:12" ht="33.75">
      <c r="A45" s="2" t="s">
        <v>672</v>
      </c>
      <c r="B45" s="134">
        <v>2</v>
      </c>
      <c r="C45" s="246">
        <v>4860</v>
      </c>
      <c r="D45" s="135" t="s">
        <v>647</v>
      </c>
      <c r="E45" s="247"/>
      <c r="F45" s="247"/>
      <c r="G45" s="247"/>
      <c r="H45" s="246">
        <v>116640</v>
      </c>
      <c r="I45" s="247"/>
      <c r="J45" s="247"/>
      <c r="K45" s="248"/>
      <c r="L45" s="249"/>
    </row>
    <row r="46" spans="1:12" ht="33.75">
      <c r="A46" s="2" t="s">
        <v>674</v>
      </c>
      <c r="B46" s="134">
        <v>1</v>
      </c>
      <c r="C46" s="246">
        <v>4740</v>
      </c>
      <c r="D46" s="135" t="s">
        <v>647</v>
      </c>
      <c r="E46" s="247"/>
      <c r="F46" s="247"/>
      <c r="G46" s="247"/>
      <c r="H46" s="246">
        <v>56880</v>
      </c>
      <c r="I46" s="247"/>
      <c r="J46" s="247"/>
      <c r="K46" s="248"/>
      <c r="L46" s="249"/>
    </row>
    <row r="47" spans="1:12" ht="22.5">
      <c r="A47" s="2" t="s">
        <v>663</v>
      </c>
      <c r="B47" s="134">
        <v>1</v>
      </c>
      <c r="C47" s="246">
        <v>4500</v>
      </c>
      <c r="D47" s="135" t="s">
        <v>647</v>
      </c>
      <c r="E47" s="247"/>
      <c r="F47" s="247"/>
      <c r="G47" s="247"/>
      <c r="H47" s="246">
        <v>54000</v>
      </c>
      <c r="I47" s="247"/>
      <c r="J47" s="247"/>
      <c r="K47" s="248"/>
      <c r="L47" s="249"/>
    </row>
    <row r="48" spans="1:12" ht="22.5">
      <c r="A48" s="2" t="s">
        <v>663</v>
      </c>
      <c r="B48" s="134">
        <v>1</v>
      </c>
      <c r="C48" s="246">
        <v>7840</v>
      </c>
      <c r="D48" s="135" t="s">
        <v>647</v>
      </c>
      <c r="E48" s="247"/>
      <c r="F48" s="247"/>
      <c r="G48" s="247"/>
      <c r="H48" s="246">
        <v>94080</v>
      </c>
      <c r="I48" s="247"/>
      <c r="J48" s="247"/>
      <c r="K48" s="248"/>
      <c r="L48" s="249"/>
    </row>
    <row r="49" spans="1:12" ht="22.5">
      <c r="A49" s="2" t="s">
        <v>57</v>
      </c>
      <c r="B49" s="134">
        <v>1</v>
      </c>
      <c r="C49" s="246">
        <v>4500</v>
      </c>
      <c r="D49" s="135" t="s">
        <v>647</v>
      </c>
      <c r="E49" s="247"/>
      <c r="F49" s="247"/>
      <c r="G49" s="247"/>
      <c r="H49" s="246">
        <v>54000</v>
      </c>
      <c r="I49" s="247"/>
      <c r="J49" s="247"/>
      <c r="K49" s="248"/>
      <c r="L49" s="249"/>
    </row>
    <row r="50" spans="1:12" ht="22.5">
      <c r="A50" s="2" t="s">
        <v>675</v>
      </c>
      <c r="B50" s="134">
        <v>1</v>
      </c>
      <c r="C50" s="246">
        <v>4900</v>
      </c>
      <c r="D50" s="135" t="s">
        <v>647</v>
      </c>
      <c r="E50" s="247"/>
      <c r="F50" s="247"/>
      <c r="G50" s="247"/>
      <c r="H50" s="246">
        <v>58800</v>
      </c>
      <c r="I50" s="247"/>
      <c r="J50" s="247"/>
      <c r="K50" s="248"/>
      <c r="L50" s="249"/>
    </row>
    <row r="51" spans="1:12" ht="56.25">
      <c r="A51" s="2" t="s">
        <v>676</v>
      </c>
      <c r="B51" s="134">
        <v>1</v>
      </c>
      <c r="C51" s="154">
        <v>4000</v>
      </c>
      <c r="D51" s="135" t="s">
        <v>647</v>
      </c>
      <c r="E51" s="247"/>
      <c r="F51" s="247"/>
      <c r="G51" s="247"/>
      <c r="H51" s="246">
        <v>48000</v>
      </c>
      <c r="I51" s="247"/>
      <c r="J51" s="247"/>
      <c r="K51" s="248"/>
      <c r="L51" s="249"/>
    </row>
    <row r="52" spans="1:12" ht="22.5">
      <c r="A52" s="2" t="s">
        <v>668</v>
      </c>
      <c r="B52" s="134">
        <v>2</v>
      </c>
      <c r="C52" s="154">
        <v>4000</v>
      </c>
      <c r="D52" s="135" t="s">
        <v>647</v>
      </c>
      <c r="E52" s="247"/>
      <c r="F52" s="247"/>
      <c r="G52" s="247"/>
      <c r="H52" s="246">
        <v>96000</v>
      </c>
      <c r="I52" s="247"/>
      <c r="J52" s="247"/>
      <c r="K52" s="248"/>
      <c r="L52" s="249"/>
    </row>
    <row r="53" spans="1:12" ht="22.5">
      <c r="A53" s="2" t="s">
        <v>668</v>
      </c>
      <c r="B53" s="134">
        <v>2</v>
      </c>
      <c r="C53" s="154">
        <v>3500</v>
      </c>
      <c r="D53" s="135" t="s">
        <v>647</v>
      </c>
      <c r="E53" s="247"/>
      <c r="F53" s="247"/>
      <c r="G53" s="247"/>
      <c r="H53" s="246">
        <v>84000</v>
      </c>
      <c r="I53" s="247"/>
      <c r="J53" s="247"/>
      <c r="K53" s="248"/>
      <c r="L53" s="249"/>
    </row>
    <row r="54" spans="1:12" ht="33.75">
      <c r="A54" s="2" t="s">
        <v>677</v>
      </c>
      <c r="B54" s="134">
        <v>1</v>
      </c>
      <c r="C54" s="154">
        <v>4000</v>
      </c>
      <c r="D54" s="135" t="s">
        <v>647</v>
      </c>
      <c r="E54" s="247"/>
      <c r="F54" s="247"/>
      <c r="G54" s="247"/>
      <c r="H54" s="246">
        <v>48000</v>
      </c>
      <c r="I54" s="247"/>
      <c r="J54" s="247"/>
      <c r="K54" s="248"/>
      <c r="L54" s="249"/>
    </row>
    <row r="55" spans="1:12" ht="33.75">
      <c r="A55" s="2" t="s">
        <v>677</v>
      </c>
      <c r="B55" s="134">
        <v>2</v>
      </c>
      <c r="C55" s="154">
        <v>3500</v>
      </c>
      <c r="D55" s="135" t="s">
        <v>647</v>
      </c>
      <c r="E55" s="247"/>
      <c r="F55" s="247"/>
      <c r="G55" s="247"/>
      <c r="H55" s="246">
        <v>84000</v>
      </c>
      <c r="I55" s="247"/>
      <c r="J55" s="247"/>
      <c r="K55" s="248"/>
      <c r="L55" s="249"/>
    </row>
    <row r="56" spans="1:12" ht="33.75">
      <c r="A56" s="2" t="s">
        <v>672</v>
      </c>
      <c r="B56" s="134">
        <v>2</v>
      </c>
      <c r="C56" s="154">
        <v>3500</v>
      </c>
      <c r="D56" s="135" t="s">
        <v>647</v>
      </c>
      <c r="E56" s="247"/>
      <c r="F56" s="247"/>
      <c r="G56" s="247"/>
      <c r="H56" s="246">
        <v>84000</v>
      </c>
      <c r="I56" s="247"/>
      <c r="J56" s="247"/>
      <c r="K56" s="248"/>
      <c r="L56" s="249"/>
    </row>
    <row r="57" spans="1:12" ht="22.5">
      <c r="A57" s="2" t="s">
        <v>678</v>
      </c>
      <c r="B57" s="134">
        <v>2</v>
      </c>
      <c r="C57" s="154">
        <v>4000</v>
      </c>
      <c r="D57" s="135" t="s">
        <v>647</v>
      </c>
      <c r="E57" s="247"/>
      <c r="F57" s="247"/>
      <c r="G57" s="247"/>
      <c r="H57" s="246">
        <v>96000</v>
      </c>
      <c r="I57" s="247"/>
      <c r="J57" s="247"/>
      <c r="K57" s="248"/>
      <c r="L57" s="249"/>
    </row>
    <row r="58" spans="1:12" ht="33.75">
      <c r="A58" s="2" t="s">
        <v>679</v>
      </c>
      <c r="B58" s="134">
        <v>1</v>
      </c>
      <c r="C58" s="154">
        <v>7540</v>
      </c>
      <c r="D58" s="135" t="s">
        <v>647</v>
      </c>
      <c r="E58" s="247"/>
      <c r="F58" s="247"/>
      <c r="G58" s="247"/>
      <c r="H58" s="246">
        <v>90480</v>
      </c>
      <c r="I58" s="247"/>
      <c r="J58" s="247"/>
      <c r="K58" s="248"/>
      <c r="L58" s="249"/>
    </row>
    <row r="59" spans="1:12" ht="33.75">
      <c r="A59" s="2" t="s">
        <v>679</v>
      </c>
      <c r="B59" s="134">
        <v>1</v>
      </c>
      <c r="C59" s="154">
        <v>4000</v>
      </c>
      <c r="D59" s="135" t="s">
        <v>647</v>
      </c>
      <c r="E59" s="247"/>
      <c r="F59" s="247"/>
      <c r="G59" s="247"/>
      <c r="H59" s="246">
        <v>48000</v>
      </c>
      <c r="I59" s="247"/>
      <c r="J59" s="247"/>
      <c r="K59" s="248"/>
      <c r="L59" s="249"/>
    </row>
    <row r="60" spans="1:12" ht="33.75">
      <c r="A60" s="2" t="s">
        <v>680</v>
      </c>
      <c r="B60" s="134">
        <v>1</v>
      </c>
      <c r="C60" s="250">
        <v>18000</v>
      </c>
      <c r="D60" s="135" t="s">
        <v>648</v>
      </c>
      <c r="E60" s="247"/>
      <c r="F60" s="247"/>
      <c r="G60" s="247"/>
      <c r="H60" s="246">
        <v>216000</v>
      </c>
      <c r="I60" s="247"/>
      <c r="J60" s="247"/>
      <c r="K60" s="248"/>
      <c r="L60" s="249"/>
    </row>
    <row r="61" spans="1:12" ht="22.5">
      <c r="A61" s="2" t="s">
        <v>681</v>
      </c>
      <c r="B61" s="134">
        <v>1</v>
      </c>
      <c r="C61" s="154">
        <v>4000</v>
      </c>
      <c r="D61" s="135" t="s">
        <v>648</v>
      </c>
      <c r="E61" s="247"/>
      <c r="F61" s="247"/>
      <c r="G61" s="247"/>
      <c r="H61" s="246">
        <v>48000</v>
      </c>
      <c r="I61" s="247"/>
      <c r="J61" s="247"/>
      <c r="K61" s="248"/>
      <c r="L61" s="249"/>
    </row>
    <row r="62" spans="1:12" ht="22.5">
      <c r="A62" s="2" t="s">
        <v>682</v>
      </c>
      <c r="B62" s="134">
        <v>1</v>
      </c>
      <c r="C62" s="246">
        <v>15500</v>
      </c>
      <c r="D62" s="135" t="s">
        <v>648</v>
      </c>
      <c r="E62" s="247"/>
      <c r="F62" s="247"/>
      <c r="G62" s="247"/>
      <c r="H62" s="246">
        <v>186000</v>
      </c>
      <c r="I62" s="247"/>
      <c r="J62" s="247"/>
      <c r="K62" s="248"/>
      <c r="L62" s="249"/>
    </row>
    <row r="63" spans="1:12" ht="22.5">
      <c r="A63" s="2" t="s">
        <v>683</v>
      </c>
      <c r="B63" s="134">
        <v>1</v>
      </c>
      <c r="C63" s="246">
        <v>15640</v>
      </c>
      <c r="D63" s="135" t="s">
        <v>648</v>
      </c>
      <c r="E63" s="247"/>
      <c r="F63" s="247"/>
      <c r="G63" s="247"/>
      <c r="H63" s="246">
        <v>187680</v>
      </c>
      <c r="I63" s="247"/>
      <c r="J63" s="247"/>
      <c r="K63" s="248"/>
      <c r="L63" s="249"/>
    </row>
    <row r="64" spans="1:12">
      <c r="A64" s="251" t="s">
        <v>649</v>
      </c>
      <c r="B64" s="134">
        <v>4</v>
      </c>
      <c r="C64" s="246">
        <v>10580</v>
      </c>
      <c r="D64" s="135" t="s">
        <v>648</v>
      </c>
      <c r="E64" s="247"/>
      <c r="F64" s="247"/>
      <c r="G64" s="247"/>
      <c r="H64" s="246">
        <v>507840</v>
      </c>
      <c r="I64" s="247"/>
      <c r="J64" s="247"/>
      <c r="K64" s="248"/>
      <c r="L64" s="249"/>
    </row>
    <row r="65" spans="1:12">
      <c r="A65" s="251" t="s">
        <v>684</v>
      </c>
      <c r="B65" s="134">
        <v>8</v>
      </c>
      <c r="C65" s="246">
        <v>8540</v>
      </c>
      <c r="D65" s="135" t="s">
        <v>648</v>
      </c>
      <c r="E65" s="247"/>
      <c r="F65" s="247"/>
      <c r="G65" s="247"/>
      <c r="H65" s="246">
        <v>819840</v>
      </c>
      <c r="I65" s="247"/>
      <c r="J65" s="247"/>
      <c r="K65" s="248"/>
      <c r="L65" s="249"/>
    </row>
    <row r="66" spans="1:12" ht="33.75">
      <c r="A66" s="2" t="s">
        <v>685</v>
      </c>
      <c r="B66" s="134">
        <v>12</v>
      </c>
      <c r="C66" s="246">
        <v>7540</v>
      </c>
      <c r="D66" s="135" t="s">
        <v>648</v>
      </c>
      <c r="E66" s="247"/>
      <c r="F66" s="247"/>
      <c r="G66" s="247"/>
      <c r="H66" s="246">
        <v>1085760</v>
      </c>
      <c r="I66" s="247"/>
      <c r="J66" s="247"/>
      <c r="K66" s="248"/>
      <c r="L66" s="249"/>
    </row>
    <row r="67" spans="1:12" ht="33.75">
      <c r="A67" s="2" t="s">
        <v>686</v>
      </c>
      <c r="B67" s="134">
        <v>17</v>
      </c>
      <c r="C67" s="246">
        <v>5840</v>
      </c>
      <c r="D67" s="135" t="s">
        <v>648</v>
      </c>
      <c r="E67" s="247"/>
      <c r="F67" s="247"/>
      <c r="G67" s="247"/>
      <c r="H67" s="246">
        <v>1191360</v>
      </c>
      <c r="I67" s="247"/>
      <c r="J67" s="247"/>
      <c r="K67" s="248"/>
      <c r="L67" s="249"/>
    </row>
    <row r="68" spans="1:12" ht="33.75">
      <c r="A68" s="2" t="s">
        <v>687</v>
      </c>
      <c r="B68" s="134">
        <v>22</v>
      </c>
      <c r="C68" s="154">
        <v>5540</v>
      </c>
      <c r="D68" s="135" t="s">
        <v>648</v>
      </c>
      <c r="E68" s="247"/>
      <c r="F68" s="247"/>
      <c r="G68" s="247"/>
      <c r="H68" s="246">
        <v>1462560</v>
      </c>
      <c r="I68" s="247"/>
      <c r="J68" s="247"/>
      <c r="K68" s="248"/>
      <c r="L68" s="249"/>
    </row>
    <row r="69" spans="1:12" ht="33.75">
      <c r="A69" s="2" t="s">
        <v>688</v>
      </c>
      <c r="B69" s="134">
        <v>1</v>
      </c>
      <c r="C69" s="246">
        <v>6040</v>
      </c>
      <c r="D69" s="135" t="s">
        <v>648</v>
      </c>
      <c r="E69" s="247"/>
      <c r="F69" s="247"/>
      <c r="G69" s="247"/>
      <c r="H69" s="246">
        <v>72480</v>
      </c>
      <c r="I69" s="247"/>
      <c r="J69" s="247"/>
      <c r="K69" s="248"/>
      <c r="L69" s="249"/>
    </row>
    <row r="70" spans="1:12" ht="22.5">
      <c r="A70" s="2" t="s">
        <v>661</v>
      </c>
      <c r="B70" s="134">
        <v>1</v>
      </c>
      <c r="C70" s="246">
        <v>6420</v>
      </c>
      <c r="D70" s="135" t="s">
        <v>648</v>
      </c>
      <c r="E70" s="247"/>
      <c r="F70" s="247"/>
      <c r="G70" s="247"/>
      <c r="H70" s="246">
        <v>77040</v>
      </c>
      <c r="I70" s="247"/>
      <c r="J70" s="247"/>
      <c r="K70" s="248"/>
      <c r="L70" s="249"/>
    </row>
    <row r="71" spans="1:12" ht="33.75">
      <c r="A71" s="2" t="s">
        <v>688</v>
      </c>
      <c r="B71" s="134">
        <v>20</v>
      </c>
      <c r="C71" s="246">
        <v>5340</v>
      </c>
      <c r="D71" s="135" t="s">
        <v>648</v>
      </c>
      <c r="E71" s="247"/>
      <c r="F71" s="247"/>
      <c r="G71" s="247"/>
      <c r="H71" s="246">
        <v>1281600</v>
      </c>
      <c r="I71" s="247"/>
      <c r="J71" s="247"/>
      <c r="K71" s="248"/>
      <c r="L71" s="249"/>
    </row>
    <row r="72" spans="1:12" ht="33.75">
      <c r="A72" s="2" t="s">
        <v>688</v>
      </c>
      <c r="B72" s="134">
        <v>105</v>
      </c>
      <c r="C72" s="246">
        <v>5040</v>
      </c>
      <c r="D72" s="135" t="s">
        <v>648</v>
      </c>
      <c r="E72" s="247"/>
      <c r="F72" s="247"/>
      <c r="G72" s="247"/>
      <c r="H72" s="246">
        <v>6350400</v>
      </c>
      <c r="I72" s="247"/>
      <c r="J72" s="247"/>
      <c r="K72" s="248"/>
      <c r="L72" s="249"/>
    </row>
    <row r="73" spans="1:12" ht="33.75">
      <c r="A73" s="2" t="s">
        <v>688</v>
      </c>
      <c r="B73" s="134">
        <v>1</v>
      </c>
      <c r="C73" s="246">
        <v>4840</v>
      </c>
      <c r="D73" s="135" t="s">
        <v>648</v>
      </c>
      <c r="E73" s="247"/>
      <c r="F73" s="247"/>
      <c r="G73" s="247"/>
      <c r="H73" s="246">
        <v>58080</v>
      </c>
      <c r="I73" s="247"/>
      <c r="J73" s="247"/>
      <c r="K73" s="248"/>
      <c r="L73" s="249"/>
    </row>
    <row r="74" spans="1:12" ht="33.75">
      <c r="A74" s="2" t="s">
        <v>688</v>
      </c>
      <c r="B74" s="134">
        <v>90</v>
      </c>
      <c r="C74" s="246">
        <v>2700</v>
      </c>
      <c r="D74" s="135" t="s">
        <v>648</v>
      </c>
      <c r="E74" s="247"/>
      <c r="F74" s="247"/>
      <c r="G74" s="247"/>
      <c r="H74" s="246">
        <v>972000</v>
      </c>
      <c r="I74" s="247"/>
      <c r="J74" s="247"/>
      <c r="K74" s="248"/>
      <c r="L74" s="249"/>
    </row>
    <row r="75" spans="1:12" ht="33.75">
      <c r="A75" s="2" t="s">
        <v>688</v>
      </c>
      <c r="B75" s="134">
        <v>90</v>
      </c>
      <c r="C75" s="246">
        <v>4540</v>
      </c>
      <c r="D75" s="135" t="s">
        <v>648</v>
      </c>
      <c r="E75" s="247"/>
      <c r="F75" s="247"/>
      <c r="G75" s="247"/>
      <c r="H75" s="246">
        <v>3268800</v>
      </c>
      <c r="I75" s="247"/>
      <c r="J75" s="247"/>
      <c r="K75" s="248"/>
      <c r="L75" s="249"/>
    </row>
    <row r="76" spans="1:12" ht="33.75">
      <c r="A76" s="2" t="s">
        <v>688</v>
      </c>
      <c r="B76" s="134">
        <v>38</v>
      </c>
      <c r="C76" s="246">
        <v>4540</v>
      </c>
      <c r="D76" s="135" t="s">
        <v>648</v>
      </c>
      <c r="E76" s="247"/>
      <c r="F76" s="247"/>
      <c r="G76" s="247"/>
      <c r="H76" s="246">
        <v>2070240</v>
      </c>
      <c r="I76" s="247"/>
      <c r="J76" s="247"/>
      <c r="K76" s="248"/>
      <c r="L76" s="249"/>
    </row>
    <row r="77" spans="1:12" ht="22.5">
      <c r="A77" s="3" t="s">
        <v>965</v>
      </c>
      <c r="B77" s="134"/>
      <c r="C77" s="246"/>
      <c r="D77" s="135"/>
      <c r="E77" s="247"/>
      <c r="F77" s="247"/>
      <c r="G77" s="247"/>
      <c r="H77" s="246"/>
      <c r="I77" s="247"/>
      <c r="J77" s="247"/>
      <c r="K77" s="248"/>
      <c r="L77" s="154">
        <v>250000</v>
      </c>
    </row>
    <row r="78" spans="1:12" ht="15.75" thickBot="1">
      <c r="A78" s="252" t="s">
        <v>966</v>
      </c>
      <c r="B78" s="253"/>
      <c r="C78" s="254"/>
      <c r="D78" s="255"/>
      <c r="E78" s="256"/>
      <c r="F78" s="256"/>
      <c r="G78" s="256"/>
      <c r="H78" s="254"/>
      <c r="I78" s="256"/>
      <c r="J78" s="256"/>
      <c r="K78" s="257"/>
      <c r="L78" s="258"/>
    </row>
    <row r="79" spans="1:12" ht="15.75" thickBot="1">
      <c r="A79" s="259"/>
      <c r="B79" s="260">
        <v>476</v>
      </c>
      <c r="C79" s="261"/>
      <c r="D79" s="262"/>
      <c r="E79" s="263">
        <v>300000</v>
      </c>
      <c r="F79" s="264">
        <v>4500</v>
      </c>
      <c r="G79" s="264">
        <v>3000</v>
      </c>
      <c r="H79" s="265">
        <v>24879840</v>
      </c>
      <c r="I79" s="265">
        <v>1058857</v>
      </c>
      <c r="J79" s="264">
        <v>1058857</v>
      </c>
      <c r="K79" s="266">
        <v>200</v>
      </c>
      <c r="L79" s="267">
        <v>250000</v>
      </c>
    </row>
    <row r="80" spans="1:12" ht="15.75" thickBot="1">
      <c r="A80" s="986" t="s">
        <v>85</v>
      </c>
      <c r="B80" s="987"/>
      <c r="C80" s="987"/>
      <c r="D80" s="987"/>
      <c r="E80" s="987"/>
      <c r="F80" s="987"/>
      <c r="G80" s="987"/>
      <c r="H80" s="987"/>
      <c r="I80" s="987"/>
      <c r="J80" s="987"/>
      <c r="K80" s="987"/>
      <c r="L80" s="635">
        <f>E79+F79+G79+H79+I79+J79+K79+L79</f>
        <v>27555254</v>
      </c>
    </row>
  </sheetData>
  <mergeCells count="7">
    <mergeCell ref="E5:L6"/>
    <mergeCell ref="A80:K80"/>
    <mergeCell ref="A4:D4"/>
    <mergeCell ref="A5:A7"/>
    <mergeCell ref="C5:C7"/>
    <mergeCell ref="D5:D7"/>
    <mergeCell ref="B5:B7"/>
  </mergeCells>
  <pageMargins left="0.70866141732283472" right="0.70866141732283472" top="0.74803149606299213" bottom="0.74803149606299213" header="0.31496062992125984" footer="0.31496062992125984"/>
  <pageSetup paperSize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2"/>
  <sheetViews>
    <sheetView view="pageBreakPreview" topLeftCell="C1" zoomScale="60" zoomScaleNormal="100" workbookViewId="0">
      <selection activeCell="M39" sqref="M39"/>
    </sheetView>
  </sheetViews>
  <sheetFormatPr baseColWidth="10" defaultRowHeight="12.75"/>
  <cols>
    <col min="1" max="1" width="41" style="22" customWidth="1"/>
    <col min="2" max="2" width="17.28515625" style="23" customWidth="1"/>
    <col min="3" max="3" width="18.28515625" style="22" customWidth="1"/>
    <col min="4" max="4" width="17.5703125" style="23" customWidth="1"/>
    <col min="5" max="5" width="13" style="22" customWidth="1"/>
    <col min="6" max="6" width="15" style="22" customWidth="1"/>
    <col min="7" max="7" width="14.85546875" style="22" customWidth="1"/>
    <col min="8" max="8" width="13.140625" style="22" customWidth="1"/>
    <col min="9" max="9" width="16.28515625" style="22" customWidth="1"/>
    <col min="10" max="10" width="15.140625" style="22" customWidth="1"/>
    <col min="11" max="11" width="13.85546875" style="22" customWidth="1"/>
    <col min="12" max="13" width="15.85546875" style="22" customWidth="1"/>
    <col min="14" max="14" width="15.28515625" style="22" bestFit="1" customWidth="1"/>
    <col min="15" max="16" width="15.28515625" style="22" customWidth="1"/>
    <col min="17" max="17" width="15.85546875" style="22" customWidth="1"/>
    <col min="18" max="18" width="16.5703125" style="22" bestFit="1" customWidth="1"/>
    <col min="19" max="19" width="21.5703125" style="22" bestFit="1" customWidth="1"/>
    <col min="20" max="16384" width="11.42578125" style="22"/>
  </cols>
  <sheetData>
    <row r="1" spans="1:19">
      <c r="A1" s="741" t="s">
        <v>25</v>
      </c>
      <c r="B1" s="742"/>
      <c r="C1" s="743"/>
      <c r="D1" s="742"/>
      <c r="E1" s="743"/>
      <c r="F1" s="743"/>
      <c r="G1" s="743"/>
      <c r="H1" s="743"/>
      <c r="I1" s="743"/>
      <c r="J1" s="744"/>
      <c r="K1" s="743"/>
      <c r="L1" s="128"/>
      <c r="M1" s="128"/>
      <c r="N1" s="128"/>
      <c r="O1" s="128"/>
      <c r="P1" s="128"/>
      <c r="Q1" s="128"/>
      <c r="R1" s="128"/>
      <c r="S1" s="128"/>
    </row>
    <row r="2" spans="1:19">
      <c r="A2" s="829" t="s">
        <v>26</v>
      </c>
      <c r="B2" s="829"/>
      <c r="C2" s="829"/>
      <c r="D2" s="829"/>
      <c r="E2" s="682"/>
      <c r="F2" s="682"/>
      <c r="G2" s="682"/>
      <c r="H2" s="682"/>
      <c r="I2" s="682"/>
      <c r="J2" s="156"/>
      <c r="K2" s="682"/>
      <c r="L2" s="128"/>
      <c r="M2" s="128"/>
      <c r="N2" s="128"/>
      <c r="O2" s="128"/>
      <c r="P2" s="128"/>
      <c r="Q2" s="128"/>
      <c r="R2" s="128"/>
      <c r="S2" s="128"/>
    </row>
    <row r="3" spans="1:19">
      <c r="A3" s="829" t="s">
        <v>809</v>
      </c>
      <c r="B3" s="829"/>
      <c r="C3" s="829"/>
      <c r="D3" s="829"/>
      <c r="E3" s="157"/>
      <c r="F3" s="157"/>
      <c r="G3" s="157"/>
      <c r="H3" s="157"/>
      <c r="I3" s="157"/>
      <c r="J3" s="158"/>
      <c r="K3" s="157"/>
      <c r="L3" s="128"/>
      <c r="M3" s="128"/>
      <c r="N3" s="128"/>
      <c r="O3" s="128"/>
      <c r="P3" s="128"/>
      <c r="Q3" s="128"/>
      <c r="R3" s="128"/>
      <c r="S3" s="128"/>
    </row>
    <row r="4" spans="1:19" ht="13.5" thickBot="1">
      <c r="A4" s="829" t="s">
        <v>28</v>
      </c>
      <c r="B4" s="829"/>
      <c r="C4" s="829"/>
      <c r="D4" s="829"/>
      <c r="E4" s="157"/>
      <c r="F4" s="157"/>
      <c r="G4" s="157"/>
      <c r="H4" s="157"/>
      <c r="I4" s="157"/>
      <c r="J4" s="158"/>
      <c r="K4" s="157"/>
      <c r="L4" s="128"/>
      <c r="M4" s="128"/>
      <c r="N4" s="128"/>
      <c r="O4" s="128"/>
      <c r="P4" s="128"/>
      <c r="Q4" s="128"/>
      <c r="R4" s="128"/>
      <c r="S4" s="128"/>
    </row>
    <row r="5" spans="1:19" ht="15" customHeight="1">
      <c r="A5" s="949" t="s">
        <v>462</v>
      </c>
      <c r="B5" s="951" t="s">
        <v>36</v>
      </c>
      <c r="C5" s="953" t="s">
        <v>37</v>
      </c>
      <c r="D5" s="953" t="s">
        <v>38</v>
      </c>
      <c r="E5" s="961"/>
      <c r="F5" s="962"/>
      <c r="G5" s="962"/>
      <c r="H5" s="962"/>
      <c r="I5" s="962"/>
      <c r="J5" s="962"/>
      <c r="K5" s="962"/>
      <c r="L5" s="962"/>
      <c r="M5" s="962"/>
      <c r="N5" s="962"/>
      <c r="O5" s="962"/>
      <c r="P5" s="962"/>
      <c r="Q5" s="962"/>
      <c r="R5" s="962"/>
      <c r="S5" s="963"/>
    </row>
    <row r="6" spans="1:19" ht="13.5" thickBot="1">
      <c r="A6" s="950" t="s">
        <v>29</v>
      </c>
      <c r="B6" s="952"/>
      <c r="C6" s="952"/>
      <c r="D6" s="952" t="s">
        <v>31</v>
      </c>
      <c r="E6" s="713">
        <v>21</v>
      </c>
      <c r="F6" s="713">
        <v>22</v>
      </c>
      <c r="G6" s="713">
        <v>26</v>
      </c>
      <c r="H6" s="713">
        <v>27</v>
      </c>
      <c r="I6" s="713">
        <v>29</v>
      </c>
      <c r="J6" s="713">
        <v>71</v>
      </c>
      <c r="K6" s="713">
        <v>72</v>
      </c>
      <c r="L6" s="713">
        <v>73</v>
      </c>
      <c r="M6" s="713">
        <v>183</v>
      </c>
      <c r="N6" s="713">
        <v>184</v>
      </c>
      <c r="O6" s="713">
        <v>186</v>
      </c>
      <c r="P6" s="713">
        <v>188</v>
      </c>
      <c r="Q6" s="713">
        <v>189</v>
      </c>
      <c r="R6" s="713">
        <v>413</v>
      </c>
      <c r="S6" s="714">
        <v>415</v>
      </c>
    </row>
    <row r="7" spans="1:19" s="35" customFormat="1" ht="11.25">
      <c r="A7" s="736" t="s">
        <v>783</v>
      </c>
      <c r="B7" s="737">
        <v>1</v>
      </c>
      <c r="C7" s="738">
        <v>6800</v>
      </c>
      <c r="D7" s="739" t="s">
        <v>525</v>
      </c>
      <c r="E7" s="738">
        <f>+B7*C7*12</f>
        <v>81600</v>
      </c>
      <c r="F7" s="738"/>
      <c r="G7" s="738"/>
      <c r="H7" s="738"/>
      <c r="I7" s="738"/>
      <c r="J7" s="738"/>
      <c r="K7" s="738"/>
      <c r="L7" s="738"/>
      <c r="M7" s="738"/>
      <c r="N7" s="740"/>
      <c r="O7" s="740"/>
      <c r="P7" s="740"/>
      <c r="Q7" s="740"/>
      <c r="R7" s="740"/>
      <c r="S7" s="740"/>
    </row>
    <row r="8" spans="1:19" s="35" customFormat="1" ht="11.25">
      <c r="A8" s="339" t="s">
        <v>784</v>
      </c>
      <c r="B8" s="241">
        <v>1</v>
      </c>
      <c r="C8" s="11">
        <v>3300</v>
      </c>
      <c r="D8" s="176" t="s">
        <v>525</v>
      </c>
      <c r="E8" s="11">
        <f>+B8*C8*12</f>
        <v>39600</v>
      </c>
      <c r="F8" s="11"/>
      <c r="G8" s="11"/>
      <c r="H8" s="11"/>
      <c r="I8" s="11"/>
      <c r="J8" s="11"/>
      <c r="K8" s="11"/>
      <c r="L8" s="11"/>
      <c r="M8" s="11"/>
      <c r="N8" s="10"/>
      <c r="O8" s="10"/>
      <c r="P8" s="10"/>
      <c r="Q8" s="10"/>
      <c r="R8" s="10"/>
      <c r="S8" s="10"/>
    </row>
    <row r="9" spans="1:19" s="35" customFormat="1" ht="11.25">
      <c r="A9" s="339" t="s">
        <v>785</v>
      </c>
      <c r="B9" s="241">
        <v>1</v>
      </c>
      <c r="C9" s="11">
        <v>24000</v>
      </c>
      <c r="D9" s="176" t="s">
        <v>525</v>
      </c>
      <c r="E9" s="11"/>
      <c r="F9" s="11">
        <f>+B9*C9*12</f>
        <v>288000</v>
      </c>
      <c r="G9" s="11"/>
      <c r="H9" s="11"/>
      <c r="I9" s="11"/>
      <c r="J9" s="11"/>
      <c r="K9" s="11"/>
      <c r="L9" s="11"/>
      <c r="M9" s="11"/>
      <c r="N9" s="10"/>
      <c r="O9" s="10"/>
      <c r="P9" s="10"/>
      <c r="Q9" s="10"/>
      <c r="R9" s="10"/>
      <c r="S9" s="10"/>
    </row>
    <row r="10" spans="1:19" s="35" customFormat="1" ht="11.25">
      <c r="A10" s="339" t="s">
        <v>49</v>
      </c>
      <c r="B10" s="241">
        <v>1</v>
      </c>
      <c r="C10" s="11">
        <v>15000</v>
      </c>
      <c r="D10" s="176" t="s">
        <v>525</v>
      </c>
      <c r="E10" s="11"/>
      <c r="F10" s="11">
        <f>+B10*C10*12</f>
        <v>180000</v>
      </c>
      <c r="G10" s="11"/>
      <c r="H10" s="11"/>
      <c r="I10" s="11"/>
      <c r="J10" s="11"/>
      <c r="K10" s="11"/>
      <c r="L10" s="11"/>
      <c r="M10" s="11"/>
      <c r="N10" s="10"/>
      <c r="O10" s="10"/>
      <c r="P10" s="10"/>
      <c r="Q10" s="10"/>
      <c r="R10" s="10"/>
      <c r="S10" s="10"/>
    </row>
    <row r="11" spans="1:19" s="35" customFormat="1" ht="22.5">
      <c r="A11" s="339" t="s">
        <v>766</v>
      </c>
      <c r="B11" s="241">
        <v>1</v>
      </c>
      <c r="C11" s="11">
        <v>15000</v>
      </c>
      <c r="D11" s="176" t="s">
        <v>525</v>
      </c>
      <c r="E11" s="11"/>
      <c r="F11" s="11"/>
      <c r="G11" s="11"/>
      <c r="H11" s="11"/>
      <c r="I11" s="11">
        <f t="shared" ref="I11:I32" si="0">+C11*12</f>
        <v>180000</v>
      </c>
      <c r="J11" s="11"/>
      <c r="K11" s="11"/>
      <c r="L11" s="11"/>
      <c r="M11" s="11"/>
      <c r="N11" s="10"/>
      <c r="O11" s="10"/>
      <c r="P11" s="10"/>
      <c r="Q11" s="10"/>
      <c r="R11" s="10"/>
      <c r="S11" s="10"/>
    </row>
    <row r="12" spans="1:19" s="35" customFormat="1" ht="33.75">
      <c r="A12" s="339" t="s">
        <v>767</v>
      </c>
      <c r="B12" s="241">
        <v>1</v>
      </c>
      <c r="C12" s="11">
        <v>8000</v>
      </c>
      <c r="D12" s="176" t="s">
        <v>525</v>
      </c>
      <c r="E12" s="11"/>
      <c r="F12" s="11"/>
      <c r="G12" s="11"/>
      <c r="H12" s="11"/>
      <c r="I12" s="11">
        <f t="shared" si="0"/>
        <v>96000</v>
      </c>
      <c r="J12" s="11"/>
      <c r="K12" s="11"/>
      <c r="L12" s="11"/>
      <c r="M12" s="11"/>
      <c r="N12" s="10"/>
      <c r="O12" s="10"/>
      <c r="P12" s="10"/>
      <c r="Q12" s="10"/>
      <c r="R12" s="10"/>
      <c r="S12" s="10"/>
    </row>
    <row r="13" spans="1:19" s="35" customFormat="1" ht="33.75">
      <c r="A13" s="339" t="s">
        <v>768</v>
      </c>
      <c r="B13" s="241">
        <v>1</v>
      </c>
      <c r="C13" s="11">
        <v>8000</v>
      </c>
      <c r="D13" s="176" t="s">
        <v>525</v>
      </c>
      <c r="E13" s="11"/>
      <c r="F13" s="11"/>
      <c r="G13" s="11"/>
      <c r="H13" s="11"/>
      <c r="I13" s="11">
        <f t="shared" si="0"/>
        <v>96000</v>
      </c>
      <c r="J13" s="11"/>
      <c r="K13" s="11"/>
      <c r="L13" s="11"/>
      <c r="M13" s="11"/>
      <c r="N13" s="10"/>
      <c r="O13" s="10"/>
      <c r="P13" s="10"/>
      <c r="Q13" s="10"/>
      <c r="R13" s="10"/>
      <c r="S13" s="10"/>
    </row>
    <row r="14" spans="1:19" s="35" customFormat="1" ht="22.5">
      <c r="A14" s="339" t="s">
        <v>769</v>
      </c>
      <c r="B14" s="241">
        <v>1</v>
      </c>
      <c r="C14" s="11">
        <v>15000</v>
      </c>
      <c r="D14" s="176" t="s">
        <v>525</v>
      </c>
      <c r="E14" s="11"/>
      <c r="F14" s="11"/>
      <c r="G14" s="11"/>
      <c r="H14" s="11"/>
      <c r="I14" s="11">
        <f t="shared" si="0"/>
        <v>180000</v>
      </c>
      <c r="J14" s="11"/>
      <c r="K14" s="11"/>
      <c r="L14" s="11"/>
      <c r="M14" s="11"/>
      <c r="N14" s="10"/>
      <c r="O14" s="10"/>
      <c r="P14" s="10"/>
      <c r="Q14" s="10"/>
      <c r="R14" s="10"/>
      <c r="S14" s="10"/>
    </row>
    <row r="15" spans="1:19" s="35" customFormat="1" ht="22.5">
      <c r="A15" s="339" t="s">
        <v>770</v>
      </c>
      <c r="B15" s="241">
        <v>1</v>
      </c>
      <c r="C15" s="11">
        <v>9500</v>
      </c>
      <c r="D15" s="176" t="s">
        <v>525</v>
      </c>
      <c r="E15" s="11"/>
      <c r="F15" s="11"/>
      <c r="G15" s="11"/>
      <c r="H15" s="11"/>
      <c r="I15" s="11">
        <f t="shared" si="0"/>
        <v>114000</v>
      </c>
      <c r="J15" s="11"/>
      <c r="K15" s="11"/>
      <c r="L15" s="11"/>
      <c r="M15" s="11"/>
      <c r="N15" s="10"/>
      <c r="O15" s="10"/>
      <c r="P15" s="10"/>
      <c r="Q15" s="10"/>
      <c r="R15" s="10"/>
      <c r="S15" s="10"/>
    </row>
    <row r="16" spans="1:19" s="35" customFormat="1" ht="22.5">
      <c r="A16" s="339" t="s">
        <v>771</v>
      </c>
      <c r="B16" s="241">
        <v>1</v>
      </c>
      <c r="C16" s="11">
        <v>6000</v>
      </c>
      <c r="D16" s="176" t="s">
        <v>525</v>
      </c>
      <c r="E16" s="11"/>
      <c r="F16" s="11"/>
      <c r="G16" s="11"/>
      <c r="H16" s="11"/>
      <c r="I16" s="11">
        <f t="shared" si="0"/>
        <v>72000</v>
      </c>
      <c r="J16" s="11"/>
      <c r="K16" s="11"/>
      <c r="L16" s="11"/>
      <c r="M16" s="11"/>
      <c r="N16" s="10"/>
      <c r="O16" s="10"/>
      <c r="P16" s="10"/>
      <c r="Q16" s="10"/>
      <c r="R16" s="10"/>
      <c r="S16" s="10"/>
    </row>
    <row r="17" spans="1:19" s="35" customFormat="1" ht="22.5">
      <c r="A17" s="339" t="s">
        <v>772</v>
      </c>
      <c r="B17" s="241">
        <v>1</v>
      </c>
      <c r="C17" s="11">
        <v>5000</v>
      </c>
      <c r="D17" s="176" t="s">
        <v>525</v>
      </c>
      <c r="E17" s="11"/>
      <c r="F17" s="11"/>
      <c r="G17" s="11"/>
      <c r="H17" s="11"/>
      <c r="I17" s="11">
        <f t="shared" si="0"/>
        <v>60000</v>
      </c>
      <c r="J17" s="11"/>
      <c r="K17" s="11"/>
      <c r="L17" s="11"/>
      <c r="M17" s="11"/>
      <c r="N17" s="10"/>
      <c r="O17" s="10"/>
      <c r="P17" s="10"/>
      <c r="Q17" s="10"/>
      <c r="R17" s="10"/>
      <c r="S17" s="10"/>
    </row>
    <row r="18" spans="1:19" s="35" customFormat="1" ht="33.75">
      <c r="A18" s="339" t="s">
        <v>773</v>
      </c>
      <c r="B18" s="241">
        <v>1</v>
      </c>
      <c r="C18" s="11">
        <v>20000</v>
      </c>
      <c r="D18" s="176" t="s">
        <v>525</v>
      </c>
      <c r="E18" s="11"/>
      <c r="F18" s="11"/>
      <c r="G18" s="11"/>
      <c r="H18" s="11"/>
      <c r="I18" s="11">
        <f t="shared" si="0"/>
        <v>240000</v>
      </c>
      <c r="J18" s="11"/>
      <c r="K18" s="11"/>
      <c r="L18" s="11"/>
      <c r="M18" s="11"/>
      <c r="N18" s="10"/>
      <c r="O18" s="10"/>
      <c r="P18" s="10"/>
      <c r="Q18" s="10"/>
      <c r="R18" s="10"/>
      <c r="S18" s="10"/>
    </row>
    <row r="19" spans="1:19" s="35" customFormat="1" ht="22.5">
      <c r="A19" s="339" t="s">
        <v>774</v>
      </c>
      <c r="B19" s="241">
        <v>1</v>
      </c>
      <c r="C19" s="11">
        <v>8000</v>
      </c>
      <c r="D19" s="176" t="s">
        <v>525</v>
      </c>
      <c r="E19" s="11"/>
      <c r="F19" s="11"/>
      <c r="G19" s="11"/>
      <c r="H19" s="11"/>
      <c r="I19" s="11">
        <f t="shared" si="0"/>
        <v>96000</v>
      </c>
      <c r="J19" s="11"/>
      <c r="K19" s="11"/>
      <c r="L19" s="11"/>
      <c r="M19" s="11"/>
      <c r="N19" s="10"/>
      <c r="O19" s="10"/>
      <c r="P19" s="10"/>
      <c r="Q19" s="10"/>
      <c r="R19" s="10"/>
      <c r="S19" s="10"/>
    </row>
    <row r="20" spans="1:19" s="35" customFormat="1" ht="22.5">
      <c r="A20" s="339" t="s">
        <v>775</v>
      </c>
      <c r="B20" s="241">
        <v>1</v>
      </c>
      <c r="C20" s="11">
        <v>13500</v>
      </c>
      <c r="D20" s="176" t="s">
        <v>525</v>
      </c>
      <c r="E20" s="11"/>
      <c r="F20" s="11"/>
      <c r="G20" s="11"/>
      <c r="H20" s="11"/>
      <c r="I20" s="11">
        <f t="shared" si="0"/>
        <v>162000</v>
      </c>
      <c r="J20" s="11"/>
      <c r="K20" s="11"/>
      <c r="L20" s="11"/>
      <c r="M20" s="11"/>
      <c r="N20" s="10"/>
      <c r="O20" s="10"/>
      <c r="P20" s="10"/>
      <c r="Q20" s="10"/>
      <c r="R20" s="10"/>
      <c r="S20" s="10"/>
    </row>
    <row r="21" spans="1:19" s="35" customFormat="1" ht="11.25">
      <c r="A21" s="339" t="s">
        <v>776</v>
      </c>
      <c r="B21" s="241">
        <v>1</v>
      </c>
      <c r="C21" s="11">
        <v>8000</v>
      </c>
      <c r="D21" s="176" t="s">
        <v>525</v>
      </c>
      <c r="E21" s="11"/>
      <c r="F21" s="11"/>
      <c r="G21" s="11"/>
      <c r="H21" s="11"/>
      <c r="I21" s="11">
        <f t="shared" si="0"/>
        <v>96000</v>
      </c>
      <c r="J21" s="11"/>
      <c r="K21" s="11"/>
      <c r="L21" s="11"/>
      <c r="M21" s="11"/>
      <c r="N21" s="10"/>
      <c r="O21" s="10"/>
      <c r="P21" s="10"/>
      <c r="Q21" s="10"/>
      <c r="R21" s="10"/>
      <c r="S21" s="10"/>
    </row>
    <row r="22" spans="1:19" s="35" customFormat="1" ht="11.25">
      <c r="A22" s="339" t="s">
        <v>56</v>
      </c>
      <c r="B22" s="241">
        <v>1</v>
      </c>
      <c r="C22" s="11">
        <v>8000</v>
      </c>
      <c r="D22" s="176" t="s">
        <v>525</v>
      </c>
      <c r="E22" s="11"/>
      <c r="F22" s="11"/>
      <c r="G22" s="11"/>
      <c r="H22" s="11"/>
      <c r="I22" s="11">
        <f t="shared" si="0"/>
        <v>96000</v>
      </c>
      <c r="J22" s="11"/>
      <c r="K22" s="11"/>
      <c r="L22" s="11"/>
      <c r="M22" s="11"/>
      <c r="N22" s="10"/>
      <c r="O22" s="10"/>
      <c r="P22" s="10"/>
      <c r="Q22" s="10"/>
      <c r="R22" s="10"/>
      <c r="S22" s="10"/>
    </row>
    <row r="23" spans="1:19" s="35" customFormat="1" ht="11.25">
      <c r="A23" s="339" t="s">
        <v>777</v>
      </c>
      <c r="B23" s="241">
        <v>1</v>
      </c>
      <c r="C23" s="11">
        <v>5000</v>
      </c>
      <c r="D23" s="176" t="s">
        <v>525</v>
      </c>
      <c r="E23" s="11"/>
      <c r="F23" s="11"/>
      <c r="G23" s="11"/>
      <c r="H23" s="11"/>
      <c r="I23" s="11">
        <f t="shared" si="0"/>
        <v>60000</v>
      </c>
      <c r="J23" s="11"/>
      <c r="K23" s="11"/>
      <c r="L23" s="11"/>
      <c r="M23" s="11"/>
      <c r="N23" s="10"/>
      <c r="O23" s="10"/>
      <c r="P23" s="10"/>
      <c r="Q23" s="10"/>
      <c r="R23" s="10"/>
      <c r="S23" s="10"/>
    </row>
    <row r="24" spans="1:19" s="35" customFormat="1" ht="11.25">
      <c r="A24" s="339" t="s">
        <v>778</v>
      </c>
      <c r="B24" s="241">
        <v>1</v>
      </c>
      <c r="C24" s="11">
        <v>6000</v>
      </c>
      <c r="D24" s="176" t="s">
        <v>525</v>
      </c>
      <c r="E24" s="11"/>
      <c r="F24" s="11"/>
      <c r="G24" s="11"/>
      <c r="H24" s="11"/>
      <c r="I24" s="11">
        <f t="shared" si="0"/>
        <v>72000</v>
      </c>
      <c r="J24" s="11"/>
      <c r="K24" s="11"/>
      <c r="L24" s="11"/>
      <c r="M24" s="11"/>
      <c r="N24" s="10"/>
      <c r="O24" s="10"/>
      <c r="P24" s="10"/>
      <c r="Q24" s="10"/>
      <c r="R24" s="10"/>
      <c r="S24" s="10"/>
    </row>
    <row r="25" spans="1:19" s="35" customFormat="1" ht="22.5">
      <c r="A25" s="339" t="s">
        <v>779</v>
      </c>
      <c r="B25" s="241">
        <v>1</v>
      </c>
      <c r="C25" s="11">
        <v>11000</v>
      </c>
      <c r="D25" s="176" t="s">
        <v>525</v>
      </c>
      <c r="E25" s="11"/>
      <c r="F25" s="11"/>
      <c r="G25" s="11"/>
      <c r="H25" s="11"/>
      <c r="I25" s="11">
        <f t="shared" si="0"/>
        <v>132000</v>
      </c>
      <c r="J25" s="11"/>
      <c r="K25" s="11"/>
      <c r="L25" s="11"/>
      <c r="M25" s="11"/>
      <c r="N25" s="10"/>
      <c r="O25" s="10"/>
      <c r="P25" s="10"/>
      <c r="Q25" s="10"/>
      <c r="R25" s="10"/>
      <c r="S25" s="10"/>
    </row>
    <row r="26" spans="1:19" s="35" customFormat="1" ht="11.25">
      <c r="A26" s="339" t="s">
        <v>780</v>
      </c>
      <c r="B26" s="241">
        <v>1</v>
      </c>
      <c r="C26" s="11">
        <v>6000</v>
      </c>
      <c r="D26" s="176" t="s">
        <v>525</v>
      </c>
      <c r="E26" s="11"/>
      <c r="F26" s="11"/>
      <c r="G26" s="11"/>
      <c r="H26" s="11"/>
      <c r="I26" s="11">
        <f t="shared" si="0"/>
        <v>72000</v>
      </c>
      <c r="J26" s="11"/>
      <c r="K26" s="11"/>
      <c r="L26" s="11"/>
      <c r="M26" s="11"/>
      <c r="N26" s="10"/>
      <c r="O26" s="10"/>
      <c r="P26" s="10"/>
      <c r="Q26" s="10"/>
      <c r="R26" s="10"/>
      <c r="S26" s="10"/>
    </row>
    <row r="27" spans="1:19" s="35" customFormat="1" ht="22.5">
      <c r="A27" s="339" t="s">
        <v>781</v>
      </c>
      <c r="B27" s="241">
        <v>1</v>
      </c>
      <c r="C27" s="11">
        <v>15000</v>
      </c>
      <c r="D27" s="176" t="s">
        <v>525</v>
      </c>
      <c r="E27" s="11"/>
      <c r="F27" s="11"/>
      <c r="G27" s="11"/>
      <c r="H27" s="11"/>
      <c r="I27" s="11">
        <f t="shared" si="0"/>
        <v>180000</v>
      </c>
      <c r="J27" s="11"/>
      <c r="K27" s="11"/>
      <c r="L27" s="11"/>
      <c r="M27" s="11"/>
      <c r="N27" s="10"/>
      <c r="O27" s="10"/>
      <c r="P27" s="10"/>
      <c r="Q27" s="10"/>
      <c r="R27" s="10"/>
      <c r="S27" s="10"/>
    </row>
    <row r="28" spans="1:19" s="35" customFormat="1" ht="22.5">
      <c r="A28" s="339" t="s">
        <v>782</v>
      </c>
      <c r="B28" s="241">
        <v>1</v>
      </c>
      <c r="C28" s="11">
        <v>9500</v>
      </c>
      <c r="D28" s="176" t="s">
        <v>525</v>
      </c>
      <c r="E28" s="11"/>
      <c r="F28" s="11"/>
      <c r="G28" s="11"/>
      <c r="H28" s="11"/>
      <c r="I28" s="11">
        <f t="shared" si="0"/>
        <v>114000</v>
      </c>
      <c r="J28" s="11"/>
      <c r="K28" s="11"/>
      <c r="L28" s="11"/>
      <c r="M28" s="11"/>
      <c r="N28" s="10"/>
      <c r="O28" s="10"/>
      <c r="P28" s="10"/>
      <c r="Q28" s="10"/>
      <c r="R28" s="10"/>
      <c r="S28" s="10"/>
    </row>
    <row r="29" spans="1:19" s="35" customFormat="1" ht="11.25">
      <c r="A29" s="339" t="s">
        <v>786</v>
      </c>
      <c r="B29" s="241">
        <v>1</v>
      </c>
      <c r="C29" s="11">
        <v>7000</v>
      </c>
      <c r="D29" s="176" t="s">
        <v>525</v>
      </c>
      <c r="E29" s="11"/>
      <c r="F29" s="11"/>
      <c r="G29" s="11"/>
      <c r="H29" s="11"/>
      <c r="I29" s="11">
        <f t="shared" si="0"/>
        <v>84000</v>
      </c>
      <c r="J29" s="11"/>
      <c r="K29" s="11"/>
      <c r="L29" s="11"/>
      <c r="M29" s="11"/>
      <c r="N29" s="10"/>
      <c r="O29" s="10"/>
      <c r="P29" s="10"/>
      <c r="Q29" s="10"/>
      <c r="R29" s="10"/>
      <c r="S29" s="10"/>
    </row>
    <row r="30" spans="1:19" s="35" customFormat="1" ht="22.5">
      <c r="A30" s="339" t="s">
        <v>787</v>
      </c>
      <c r="B30" s="241">
        <v>1</v>
      </c>
      <c r="C30" s="11">
        <v>8000</v>
      </c>
      <c r="D30" s="176" t="s">
        <v>525</v>
      </c>
      <c r="E30" s="11"/>
      <c r="F30" s="11"/>
      <c r="G30" s="11"/>
      <c r="H30" s="11"/>
      <c r="I30" s="11">
        <f t="shared" si="0"/>
        <v>96000</v>
      </c>
      <c r="J30" s="11"/>
      <c r="K30" s="11"/>
      <c r="L30" s="11"/>
      <c r="M30" s="11"/>
      <c r="N30" s="10"/>
      <c r="O30" s="10"/>
      <c r="P30" s="10"/>
      <c r="Q30" s="10"/>
      <c r="R30" s="10"/>
      <c r="S30" s="10"/>
    </row>
    <row r="31" spans="1:19" s="35" customFormat="1" ht="22.5">
      <c r="A31" s="339" t="s">
        <v>788</v>
      </c>
      <c r="B31" s="241">
        <v>1</v>
      </c>
      <c r="C31" s="11">
        <v>13500</v>
      </c>
      <c r="D31" s="176" t="s">
        <v>525</v>
      </c>
      <c r="E31" s="11"/>
      <c r="F31" s="11"/>
      <c r="G31" s="11"/>
      <c r="H31" s="11"/>
      <c r="I31" s="11">
        <f t="shared" si="0"/>
        <v>162000</v>
      </c>
      <c r="J31" s="11"/>
      <c r="K31" s="11"/>
      <c r="L31" s="11"/>
      <c r="M31" s="11"/>
      <c r="N31" s="10"/>
      <c r="O31" s="10"/>
      <c r="P31" s="10"/>
      <c r="Q31" s="10"/>
      <c r="R31" s="10"/>
      <c r="S31" s="10"/>
    </row>
    <row r="32" spans="1:19" s="35" customFormat="1" ht="22.5">
      <c r="A32" s="339" t="s">
        <v>789</v>
      </c>
      <c r="B32" s="241">
        <v>1</v>
      </c>
      <c r="C32" s="11">
        <v>13500</v>
      </c>
      <c r="D32" s="176" t="s">
        <v>525</v>
      </c>
      <c r="E32" s="11"/>
      <c r="F32" s="11"/>
      <c r="G32" s="11"/>
      <c r="H32" s="11"/>
      <c r="I32" s="11">
        <f t="shared" si="0"/>
        <v>162000</v>
      </c>
      <c r="J32" s="11"/>
      <c r="K32" s="11"/>
      <c r="L32" s="11"/>
      <c r="M32" s="11"/>
      <c r="N32" s="10"/>
      <c r="O32" s="10"/>
      <c r="P32" s="10"/>
      <c r="Q32" s="10"/>
      <c r="R32" s="10"/>
      <c r="S32" s="10"/>
    </row>
    <row r="33" spans="1:19" s="35" customFormat="1" ht="11.25">
      <c r="A33" s="339" t="s">
        <v>59</v>
      </c>
      <c r="B33" s="241">
        <v>1</v>
      </c>
      <c r="C33" s="11">
        <v>375</v>
      </c>
      <c r="D33" s="176" t="s">
        <v>525</v>
      </c>
      <c r="E33" s="11"/>
      <c r="F33" s="11"/>
      <c r="G33" s="11">
        <f>+B33*C33*12</f>
        <v>4500</v>
      </c>
      <c r="H33" s="11"/>
      <c r="I33" s="11"/>
      <c r="J33" s="11"/>
      <c r="K33" s="11"/>
      <c r="L33" s="11"/>
      <c r="M33" s="11"/>
      <c r="N33" s="10"/>
      <c r="O33" s="10"/>
      <c r="P33" s="10"/>
      <c r="Q33" s="10"/>
      <c r="R33" s="10"/>
      <c r="S33" s="10"/>
    </row>
    <row r="34" spans="1:19" s="35" customFormat="1" ht="11.25">
      <c r="A34" s="339" t="s">
        <v>49</v>
      </c>
      <c r="B34" s="241">
        <v>1</v>
      </c>
      <c r="C34" s="11">
        <v>375</v>
      </c>
      <c r="D34" s="176" t="s">
        <v>525</v>
      </c>
      <c r="E34" s="11"/>
      <c r="F34" s="11"/>
      <c r="G34" s="11">
        <f>+B34*C34*12</f>
        <v>4500</v>
      </c>
      <c r="H34" s="11"/>
      <c r="I34" s="11"/>
      <c r="J34" s="11"/>
      <c r="K34" s="11"/>
      <c r="L34" s="11"/>
      <c r="M34" s="11"/>
      <c r="N34" s="10"/>
      <c r="O34" s="10"/>
      <c r="P34" s="10"/>
      <c r="Q34" s="10"/>
      <c r="R34" s="10"/>
      <c r="S34" s="10"/>
    </row>
    <row r="35" spans="1:19" s="35" customFormat="1" ht="11.25">
      <c r="A35" s="339" t="s">
        <v>783</v>
      </c>
      <c r="B35" s="241">
        <v>1</v>
      </c>
      <c r="C35" s="11">
        <v>375</v>
      </c>
      <c r="D35" s="176" t="s">
        <v>525</v>
      </c>
      <c r="E35" s="11"/>
      <c r="F35" s="11"/>
      <c r="G35" s="11"/>
      <c r="H35" s="11"/>
      <c r="I35" s="11"/>
      <c r="J35" s="11"/>
      <c r="K35" s="11"/>
      <c r="L35" s="11"/>
      <c r="M35" s="11"/>
      <c r="N35" s="10"/>
      <c r="O35" s="10"/>
      <c r="P35" s="10"/>
      <c r="Q35" s="10"/>
      <c r="R35" s="10"/>
      <c r="S35" s="10"/>
    </row>
    <row r="36" spans="1:19" s="35" customFormat="1" ht="11.25">
      <c r="A36" s="339" t="s">
        <v>790</v>
      </c>
      <c r="B36" s="241">
        <v>1</v>
      </c>
      <c r="C36" s="11">
        <v>375</v>
      </c>
      <c r="D36" s="176" t="s">
        <v>525</v>
      </c>
      <c r="E36" s="11"/>
      <c r="F36" s="11"/>
      <c r="G36" s="11"/>
      <c r="H36" s="11"/>
      <c r="I36" s="11"/>
      <c r="J36" s="11"/>
      <c r="K36" s="11"/>
      <c r="L36" s="11"/>
      <c r="M36" s="11"/>
      <c r="N36" s="10"/>
      <c r="O36" s="10"/>
      <c r="P36" s="10"/>
      <c r="Q36" s="10"/>
      <c r="R36" s="10"/>
      <c r="S36" s="10"/>
    </row>
    <row r="37" spans="1:19" s="35" customFormat="1" ht="11.25">
      <c r="A37" s="339" t="s">
        <v>59</v>
      </c>
      <c r="B37" s="241">
        <v>1</v>
      </c>
      <c r="C37" s="11">
        <v>250</v>
      </c>
      <c r="D37" s="176" t="s">
        <v>525</v>
      </c>
      <c r="E37" s="11"/>
      <c r="F37" s="11"/>
      <c r="G37" s="11"/>
      <c r="H37" s="11">
        <f>+B37*C37*12</f>
        <v>3000</v>
      </c>
      <c r="I37" s="11"/>
      <c r="J37" s="11"/>
      <c r="K37" s="11"/>
      <c r="L37" s="11"/>
      <c r="M37" s="11"/>
      <c r="N37" s="10"/>
      <c r="O37" s="10"/>
      <c r="P37" s="10"/>
      <c r="Q37" s="10"/>
      <c r="R37" s="10"/>
      <c r="S37" s="10"/>
    </row>
    <row r="38" spans="1:19" s="35" customFormat="1" ht="11.25">
      <c r="A38" s="339" t="s">
        <v>49</v>
      </c>
      <c r="B38" s="241">
        <v>1</v>
      </c>
      <c r="C38" s="11">
        <v>250</v>
      </c>
      <c r="D38" s="176" t="s">
        <v>525</v>
      </c>
      <c r="E38" s="11"/>
      <c r="F38" s="11"/>
      <c r="G38" s="11"/>
      <c r="H38" s="11">
        <f>+B38*C38*12</f>
        <v>3000</v>
      </c>
      <c r="I38" s="11"/>
      <c r="J38" s="11"/>
      <c r="K38" s="11"/>
      <c r="L38" s="11"/>
      <c r="M38" s="11"/>
      <c r="N38" s="10"/>
      <c r="O38" s="10"/>
      <c r="P38" s="10"/>
      <c r="Q38" s="10"/>
      <c r="R38" s="10"/>
      <c r="S38" s="10"/>
    </row>
    <row r="39" spans="1:19" s="35" customFormat="1" ht="11.25">
      <c r="A39" s="339" t="s">
        <v>783</v>
      </c>
      <c r="B39" s="241">
        <v>1</v>
      </c>
      <c r="C39" s="11">
        <v>2250</v>
      </c>
      <c r="D39" s="176" t="s">
        <v>525</v>
      </c>
      <c r="E39" s="11"/>
      <c r="F39" s="11"/>
      <c r="G39" s="11"/>
      <c r="H39" s="11">
        <f>+B39*C39*12</f>
        <v>27000</v>
      </c>
      <c r="I39" s="11"/>
      <c r="J39" s="11"/>
      <c r="K39" s="11"/>
      <c r="L39" s="11"/>
      <c r="M39" s="11"/>
      <c r="N39" s="10"/>
      <c r="O39" s="10"/>
      <c r="P39" s="10"/>
      <c r="Q39" s="10"/>
      <c r="R39" s="10"/>
      <c r="S39" s="10"/>
    </row>
    <row r="40" spans="1:19" s="35" customFormat="1" ht="11.25">
      <c r="A40" s="339" t="s">
        <v>790</v>
      </c>
      <c r="B40" s="241">
        <v>1</v>
      </c>
      <c r="C40" s="11">
        <v>1750</v>
      </c>
      <c r="D40" s="176" t="s">
        <v>525</v>
      </c>
      <c r="E40" s="11"/>
      <c r="F40" s="11"/>
      <c r="G40" s="11"/>
      <c r="H40" s="11">
        <f>+B40*C40*12</f>
        <v>21000</v>
      </c>
      <c r="I40" s="11"/>
      <c r="J40" s="11"/>
      <c r="K40" s="11"/>
      <c r="L40" s="11"/>
      <c r="M40" s="11"/>
      <c r="N40" s="10"/>
      <c r="O40" s="10"/>
      <c r="P40" s="10"/>
      <c r="Q40" s="10"/>
      <c r="R40" s="10"/>
      <c r="S40" s="10"/>
    </row>
    <row r="41" spans="1:19" s="35" customFormat="1" ht="11.25">
      <c r="A41" s="339" t="s">
        <v>59</v>
      </c>
      <c r="B41" s="241">
        <v>1</v>
      </c>
      <c r="C41" s="11">
        <v>24375</v>
      </c>
      <c r="D41" s="176" t="s">
        <v>525</v>
      </c>
      <c r="E41" s="11"/>
      <c r="F41" s="11"/>
      <c r="G41" s="11"/>
      <c r="H41" s="11"/>
      <c r="I41" s="11"/>
      <c r="J41" s="11">
        <f>+B41*C41</f>
        <v>24375</v>
      </c>
      <c r="K41" s="11"/>
      <c r="L41" s="11"/>
      <c r="M41" s="11"/>
      <c r="N41" s="10"/>
      <c r="O41" s="10"/>
      <c r="P41" s="10"/>
      <c r="Q41" s="10"/>
      <c r="R41" s="10"/>
      <c r="S41" s="10"/>
    </row>
    <row r="42" spans="1:19" s="35" customFormat="1" ht="11.25">
      <c r="A42" s="339" t="s">
        <v>49</v>
      </c>
      <c r="B42" s="241">
        <v>1</v>
      </c>
      <c r="C42" s="11">
        <v>15375</v>
      </c>
      <c r="D42" s="176" t="s">
        <v>525</v>
      </c>
      <c r="E42" s="11"/>
      <c r="F42" s="11"/>
      <c r="G42" s="11"/>
      <c r="H42" s="11"/>
      <c r="I42" s="11"/>
      <c r="J42" s="11">
        <f>+B42*C42</f>
        <v>15375</v>
      </c>
      <c r="K42" s="11"/>
      <c r="L42" s="11"/>
      <c r="M42" s="11"/>
      <c r="N42" s="10"/>
      <c r="O42" s="10"/>
      <c r="P42" s="10"/>
      <c r="Q42" s="10"/>
      <c r="R42" s="10"/>
      <c r="S42" s="10"/>
    </row>
    <row r="43" spans="1:19" s="35" customFormat="1" ht="11.25">
      <c r="A43" s="339" t="s">
        <v>783</v>
      </c>
      <c r="B43" s="241">
        <v>1</v>
      </c>
      <c r="C43" s="11">
        <v>9175</v>
      </c>
      <c r="D43" s="176" t="s">
        <v>525</v>
      </c>
      <c r="E43" s="11"/>
      <c r="F43" s="11"/>
      <c r="G43" s="11"/>
      <c r="H43" s="11"/>
      <c r="I43" s="11"/>
      <c r="J43" s="11">
        <v>8800</v>
      </c>
      <c r="K43" s="11"/>
      <c r="L43" s="11"/>
      <c r="M43" s="11"/>
      <c r="N43" s="10"/>
      <c r="O43" s="10"/>
      <c r="P43" s="10"/>
      <c r="Q43" s="10"/>
      <c r="R43" s="10"/>
      <c r="S43" s="10"/>
    </row>
    <row r="44" spans="1:19" s="35" customFormat="1" ht="11.25">
      <c r="A44" s="339" t="s">
        <v>790</v>
      </c>
      <c r="B44" s="241">
        <v>1</v>
      </c>
      <c r="C44" s="11">
        <v>5175</v>
      </c>
      <c r="D44" s="176" t="s">
        <v>525</v>
      </c>
      <c r="E44" s="11"/>
      <c r="F44" s="11"/>
      <c r="G44" s="11"/>
      <c r="H44" s="11"/>
      <c r="I44" s="11"/>
      <c r="J44" s="11">
        <v>4800</v>
      </c>
      <c r="K44" s="11"/>
      <c r="L44" s="11"/>
      <c r="M44" s="11"/>
      <c r="N44" s="10"/>
      <c r="O44" s="10"/>
      <c r="P44" s="10"/>
      <c r="Q44" s="10"/>
      <c r="R44" s="10"/>
      <c r="S44" s="10"/>
    </row>
    <row r="45" spans="1:19" s="35" customFormat="1" ht="11.25">
      <c r="A45" s="18" t="s">
        <v>59</v>
      </c>
      <c r="B45" s="241">
        <v>1</v>
      </c>
      <c r="C45" s="11">
        <v>24375</v>
      </c>
      <c r="D45" s="176" t="s">
        <v>525</v>
      </c>
      <c r="E45" s="11"/>
      <c r="F45" s="11"/>
      <c r="G45" s="11"/>
      <c r="H45" s="11"/>
      <c r="I45" s="11"/>
      <c r="J45" s="11"/>
      <c r="K45" s="11">
        <f>+B45*C45</f>
        <v>24375</v>
      </c>
      <c r="L45" s="11"/>
      <c r="M45" s="11"/>
      <c r="N45" s="10"/>
      <c r="O45" s="10"/>
      <c r="P45" s="10"/>
      <c r="Q45" s="10"/>
      <c r="R45" s="10"/>
      <c r="S45" s="10"/>
    </row>
    <row r="46" spans="1:19" s="35" customFormat="1" ht="11.25">
      <c r="A46" s="18" t="s">
        <v>49</v>
      </c>
      <c r="B46" s="241">
        <v>1</v>
      </c>
      <c r="C46" s="11">
        <v>15375</v>
      </c>
      <c r="D46" s="176" t="s">
        <v>525</v>
      </c>
      <c r="E46" s="11"/>
      <c r="F46" s="11"/>
      <c r="G46" s="11"/>
      <c r="H46" s="11"/>
      <c r="I46" s="11"/>
      <c r="J46" s="11"/>
      <c r="K46" s="11">
        <f>+B46*C46</f>
        <v>15375</v>
      </c>
      <c r="L46" s="11"/>
      <c r="M46" s="11"/>
      <c r="N46" s="10"/>
      <c r="O46" s="10"/>
      <c r="P46" s="10"/>
      <c r="Q46" s="10"/>
      <c r="R46" s="10"/>
      <c r="S46" s="10"/>
    </row>
    <row r="47" spans="1:19" s="35" customFormat="1" ht="11.25">
      <c r="A47" s="18" t="s">
        <v>783</v>
      </c>
      <c r="B47" s="241">
        <v>1</v>
      </c>
      <c r="C47" s="11">
        <v>9175</v>
      </c>
      <c r="D47" s="176" t="s">
        <v>525</v>
      </c>
      <c r="E47" s="11"/>
      <c r="F47" s="11"/>
      <c r="G47" s="11"/>
      <c r="H47" s="11"/>
      <c r="I47" s="11"/>
      <c r="J47" s="11"/>
      <c r="K47" s="11">
        <v>8800</v>
      </c>
      <c r="L47" s="11"/>
      <c r="M47" s="11"/>
      <c r="N47" s="10"/>
      <c r="O47" s="10"/>
      <c r="P47" s="10"/>
      <c r="Q47" s="10"/>
      <c r="R47" s="10"/>
      <c r="S47" s="10"/>
    </row>
    <row r="48" spans="1:19" s="35" customFormat="1" ht="11.25">
      <c r="A48" s="18" t="s">
        <v>790</v>
      </c>
      <c r="B48" s="241">
        <v>1</v>
      </c>
      <c r="C48" s="11">
        <v>5175</v>
      </c>
      <c r="D48" s="176" t="s">
        <v>525</v>
      </c>
      <c r="E48" s="11"/>
      <c r="F48" s="11"/>
      <c r="G48" s="11"/>
      <c r="H48" s="11"/>
      <c r="I48" s="11"/>
      <c r="J48" s="11"/>
      <c r="K48" s="11">
        <v>4800</v>
      </c>
      <c r="L48" s="11"/>
      <c r="M48" s="11"/>
      <c r="N48" s="10"/>
      <c r="O48" s="10"/>
      <c r="P48" s="10"/>
      <c r="Q48" s="10"/>
      <c r="R48" s="10"/>
      <c r="S48" s="10"/>
    </row>
    <row r="49" spans="1:19" s="35" customFormat="1" ht="11.25">
      <c r="A49" s="18" t="s">
        <v>59</v>
      </c>
      <c r="B49" s="241">
        <v>1</v>
      </c>
      <c r="C49" s="11">
        <v>200</v>
      </c>
      <c r="D49" s="176" t="s">
        <v>525</v>
      </c>
      <c r="E49" s="11"/>
      <c r="F49" s="11"/>
      <c r="G49" s="11"/>
      <c r="H49" s="11"/>
      <c r="I49" s="11"/>
      <c r="J49" s="11"/>
      <c r="K49" s="11"/>
      <c r="L49" s="11">
        <f>+B49*C49</f>
        <v>200</v>
      </c>
      <c r="M49" s="11"/>
      <c r="N49" s="10"/>
      <c r="O49" s="10"/>
      <c r="P49" s="10"/>
      <c r="Q49" s="10"/>
      <c r="R49" s="10"/>
      <c r="S49" s="10"/>
    </row>
    <row r="50" spans="1:19" s="35" customFormat="1" ht="11.25">
      <c r="A50" s="18" t="s">
        <v>49</v>
      </c>
      <c r="B50" s="241">
        <v>1</v>
      </c>
      <c r="C50" s="11">
        <v>200</v>
      </c>
      <c r="D50" s="176" t="s">
        <v>525</v>
      </c>
      <c r="E50" s="11"/>
      <c r="F50" s="11"/>
      <c r="G50" s="11"/>
      <c r="H50" s="11"/>
      <c r="I50" s="11"/>
      <c r="J50" s="11"/>
      <c r="K50" s="11"/>
      <c r="L50" s="11">
        <f>+B50*C50</f>
        <v>200</v>
      </c>
      <c r="M50" s="11"/>
      <c r="N50" s="10"/>
      <c r="O50" s="10"/>
      <c r="P50" s="10"/>
      <c r="Q50" s="10"/>
      <c r="R50" s="10"/>
      <c r="S50" s="10"/>
    </row>
    <row r="51" spans="1:19" s="35" customFormat="1" ht="11.25">
      <c r="A51" s="18" t="s">
        <v>783</v>
      </c>
      <c r="B51" s="241">
        <v>1</v>
      </c>
      <c r="C51" s="11">
        <v>200</v>
      </c>
      <c r="D51" s="176" t="s">
        <v>525</v>
      </c>
      <c r="E51" s="11"/>
      <c r="F51" s="11"/>
      <c r="G51" s="11"/>
      <c r="H51" s="11"/>
      <c r="I51" s="11"/>
      <c r="J51" s="11"/>
      <c r="K51" s="11"/>
      <c r="L51" s="11">
        <f>+B51*C51</f>
        <v>200</v>
      </c>
      <c r="M51" s="11"/>
      <c r="N51" s="10"/>
      <c r="O51" s="10"/>
      <c r="P51" s="10"/>
      <c r="Q51" s="10"/>
      <c r="R51" s="10"/>
      <c r="S51" s="10"/>
    </row>
    <row r="52" spans="1:19" s="35" customFormat="1" ht="11.25">
      <c r="A52" s="18" t="s">
        <v>790</v>
      </c>
      <c r="B52" s="241">
        <v>1</v>
      </c>
      <c r="C52" s="11">
        <v>200</v>
      </c>
      <c r="D52" s="176" t="s">
        <v>525</v>
      </c>
      <c r="E52" s="11"/>
      <c r="F52" s="11"/>
      <c r="G52" s="11"/>
      <c r="H52" s="11"/>
      <c r="I52" s="11"/>
      <c r="J52" s="11"/>
      <c r="K52" s="11"/>
      <c r="L52" s="11">
        <f>+B52*C52</f>
        <v>200</v>
      </c>
      <c r="M52" s="11"/>
      <c r="N52" s="10"/>
      <c r="O52" s="10"/>
      <c r="P52" s="10"/>
      <c r="Q52" s="10"/>
      <c r="R52" s="10"/>
      <c r="S52" s="10"/>
    </row>
    <row r="53" spans="1:19" s="35" customFormat="1" ht="22.5">
      <c r="A53" s="18" t="s">
        <v>932</v>
      </c>
      <c r="B53" s="241">
        <v>1</v>
      </c>
      <c r="C53" s="11">
        <f>180000/12</f>
        <v>15000</v>
      </c>
      <c r="D53" s="176" t="s">
        <v>525</v>
      </c>
      <c r="E53" s="11"/>
      <c r="F53" s="11"/>
      <c r="G53" s="11"/>
      <c r="H53" s="11"/>
      <c r="I53" s="11"/>
      <c r="J53" s="11"/>
      <c r="K53" s="11"/>
      <c r="L53" s="11"/>
      <c r="M53" s="11"/>
      <c r="N53" s="11">
        <f>+C53*B53*12</f>
        <v>180000</v>
      </c>
      <c r="O53" s="11"/>
      <c r="P53" s="11"/>
      <c r="Q53" s="11"/>
      <c r="R53" s="10"/>
      <c r="S53" s="10"/>
    </row>
    <row r="54" spans="1:19" s="35" customFormat="1" ht="11.25">
      <c r="A54" s="18" t="s">
        <v>933</v>
      </c>
      <c r="B54" s="241">
        <v>5</v>
      </c>
      <c r="C54" s="11">
        <f>(180000/5)/12</f>
        <v>3000</v>
      </c>
      <c r="D54" s="176" t="s">
        <v>525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>
        <f>+C54*B54*12</f>
        <v>180000</v>
      </c>
      <c r="R54" s="10"/>
      <c r="S54" s="10"/>
    </row>
    <row r="55" spans="1:19" s="35" customFormat="1" ht="11.25">
      <c r="A55" s="18" t="s">
        <v>934</v>
      </c>
      <c r="B55" s="241">
        <v>3</v>
      </c>
      <c r="C55" s="11">
        <f>(270000/3)/12</f>
        <v>7500</v>
      </c>
      <c r="D55" s="176" t="s">
        <v>525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>
        <f t="shared" ref="Q55:Q73" si="1">+C55*B55*12</f>
        <v>270000</v>
      </c>
      <c r="R55" s="10"/>
      <c r="S55" s="10"/>
    </row>
    <row r="56" spans="1:19" s="35" customFormat="1" ht="11.25">
      <c r="A56" s="18" t="s">
        <v>935</v>
      </c>
      <c r="B56" s="241">
        <v>1</v>
      </c>
      <c r="C56" s="11">
        <f>60000/12</f>
        <v>5000</v>
      </c>
      <c r="D56" s="176" t="s">
        <v>525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>
        <f t="shared" si="1"/>
        <v>60000</v>
      </c>
      <c r="R56" s="10"/>
      <c r="S56" s="10"/>
    </row>
    <row r="57" spans="1:19" s="35" customFormat="1" ht="11.25">
      <c r="A57" s="18" t="s">
        <v>936</v>
      </c>
      <c r="B57" s="241">
        <v>1</v>
      </c>
      <c r="C57" s="11">
        <f>36000/12</f>
        <v>3000</v>
      </c>
      <c r="D57" s="176" t="s">
        <v>525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>
        <f t="shared" si="1"/>
        <v>36000</v>
      </c>
      <c r="R57" s="10"/>
      <c r="S57" s="10"/>
    </row>
    <row r="58" spans="1:19" s="35" customFormat="1" ht="11.25">
      <c r="A58" s="18" t="s">
        <v>937</v>
      </c>
      <c r="B58" s="241">
        <v>1</v>
      </c>
      <c r="C58" s="11">
        <f>48000/12</f>
        <v>4000</v>
      </c>
      <c r="D58" s="176" t="s">
        <v>525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>
        <f t="shared" si="1"/>
        <v>48000</v>
      </c>
      <c r="R58" s="10"/>
      <c r="S58" s="10"/>
    </row>
    <row r="59" spans="1:19" s="35" customFormat="1" ht="11.25">
      <c r="A59" s="18" t="s">
        <v>938</v>
      </c>
      <c r="B59" s="241">
        <v>2</v>
      </c>
      <c r="C59" s="11">
        <f>(108000/2)/12</f>
        <v>4500</v>
      </c>
      <c r="D59" s="176" t="s">
        <v>525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>
        <f t="shared" si="1"/>
        <v>108000</v>
      </c>
      <c r="R59" s="10"/>
      <c r="S59" s="10"/>
    </row>
    <row r="60" spans="1:19" s="35" customFormat="1" ht="11.25">
      <c r="A60" s="18" t="s">
        <v>939</v>
      </c>
      <c r="B60" s="241">
        <v>4</v>
      </c>
      <c r="C60" s="11">
        <f>(288000/4)/12</f>
        <v>6000</v>
      </c>
      <c r="D60" s="176" t="s">
        <v>525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>
        <f t="shared" si="1"/>
        <v>288000</v>
      </c>
      <c r="R60" s="10"/>
      <c r="S60" s="10"/>
    </row>
    <row r="61" spans="1:19" s="35" customFormat="1" ht="11.25">
      <c r="A61" s="18" t="s">
        <v>940</v>
      </c>
      <c r="B61" s="241">
        <v>1</v>
      </c>
      <c r="C61" s="11">
        <f>60000/12</f>
        <v>5000</v>
      </c>
      <c r="D61" s="176" t="s">
        <v>525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>
        <f t="shared" si="1"/>
        <v>60000</v>
      </c>
      <c r="R61" s="10"/>
      <c r="S61" s="10"/>
    </row>
    <row r="62" spans="1:19" s="35" customFormat="1" ht="11.25">
      <c r="A62" s="18" t="s">
        <v>941</v>
      </c>
      <c r="B62" s="241">
        <v>1</v>
      </c>
      <c r="C62" s="11">
        <f>96000/12</f>
        <v>8000</v>
      </c>
      <c r="D62" s="176" t="s">
        <v>525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>
        <f t="shared" si="1"/>
        <v>96000</v>
      </c>
      <c r="R62" s="10"/>
      <c r="S62" s="10"/>
    </row>
    <row r="63" spans="1:19" s="35" customFormat="1" ht="11.25">
      <c r="A63" s="18" t="s">
        <v>942</v>
      </c>
      <c r="B63" s="241">
        <v>7</v>
      </c>
      <c r="C63" s="11">
        <f>(336000/7)/12</f>
        <v>4000</v>
      </c>
      <c r="D63" s="176" t="s">
        <v>525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>
        <f t="shared" si="1"/>
        <v>336000</v>
      </c>
      <c r="R63" s="10"/>
      <c r="S63" s="10"/>
    </row>
    <row r="64" spans="1:19" s="35" customFormat="1" ht="11.25">
      <c r="A64" s="18" t="s">
        <v>943</v>
      </c>
      <c r="B64" s="241">
        <v>3</v>
      </c>
      <c r="C64" s="11">
        <f>(162000/3)/12</f>
        <v>4500</v>
      </c>
      <c r="D64" s="176" t="s">
        <v>525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>
        <f t="shared" si="1"/>
        <v>162000</v>
      </c>
      <c r="R64" s="10"/>
      <c r="S64" s="10"/>
    </row>
    <row r="65" spans="1:19" s="35" customFormat="1" ht="11.25">
      <c r="A65" s="18" t="s">
        <v>944</v>
      </c>
      <c r="B65" s="241">
        <v>4</v>
      </c>
      <c r="C65" s="11">
        <f>(182400/4)/12</f>
        <v>3800</v>
      </c>
      <c r="D65" s="176" t="s">
        <v>525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>
        <f t="shared" si="1"/>
        <v>182400</v>
      </c>
      <c r="R65" s="10"/>
      <c r="S65" s="10"/>
    </row>
    <row r="66" spans="1:19" s="35" customFormat="1" ht="11.25">
      <c r="A66" s="18" t="s">
        <v>945</v>
      </c>
      <c r="B66" s="241">
        <v>6</v>
      </c>
      <c r="C66" s="11">
        <f>(324000/6)/12</f>
        <v>4500</v>
      </c>
      <c r="D66" s="176" t="s">
        <v>525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>
        <f t="shared" si="1"/>
        <v>324000</v>
      </c>
      <c r="R66" s="10"/>
      <c r="S66" s="10"/>
    </row>
    <row r="67" spans="1:19" s="35" customFormat="1" ht="11.25">
      <c r="A67" s="18" t="s">
        <v>946</v>
      </c>
      <c r="B67" s="241">
        <v>1</v>
      </c>
      <c r="C67" s="11">
        <f>132000/12</f>
        <v>11000</v>
      </c>
      <c r="D67" s="176" t="s">
        <v>525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>
        <f t="shared" si="1"/>
        <v>132000</v>
      </c>
      <c r="R67" s="10"/>
      <c r="S67" s="10"/>
    </row>
    <row r="68" spans="1:19" s="35" customFormat="1" ht="11.25">
      <c r="A68" s="18" t="s">
        <v>947</v>
      </c>
      <c r="B68" s="241">
        <v>1</v>
      </c>
      <c r="C68" s="11">
        <f>168000/12</f>
        <v>14000</v>
      </c>
      <c r="D68" s="176" t="s">
        <v>525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>
        <f t="shared" si="1"/>
        <v>168000</v>
      </c>
      <c r="R68" s="10"/>
      <c r="S68" s="10"/>
    </row>
    <row r="69" spans="1:19" s="35" customFormat="1" ht="11.25">
      <c r="A69" s="18" t="s">
        <v>948</v>
      </c>
      <c r="B69" s="241">
        <v>8</v>
      </c>
      <c r="C69" s="11">
        <f>(576000/8)/12</f>
        <v>6000</v>
      </c>
      <c r="D69" s="176" t="s">
        <v>525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>
        <f t="shared" si="1"/>
        <v>576000</v>
      </c>
      <c r="R69" s="10"/>
      <c r="S69" s="10"/>
    </row>
    <row r="70" spans="1:19" s="35" customFormat="1" ht="11.25">
      <c r="A70" s="18" t="s">
        <v>949</v>
      </c>
      <c r="B70" s="241">
        <v>1</v>
      </c>
      <c r="C70" s="11">
        <f>60000/12</f>
        <v>5000</v>
      </c>
      <c r="D70" s="176" t="s">
        <v>525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>
        <f t="shared" si="1"/>
        <v>60000</v>
      </c>
      <c r="R70" s="10"/>
      <c r="S70" s="10"/>
    </row>
    <row r="71" spans="1:19" s="35" customFormat="1" ht="11.25">
      <c r="A71" s="18" t="s">
        <v>950</v>
      </c>
      <c r="B71" s="241">
        <v>2</v>
      </c>
      <c r="C71" s="11">
        <f>(96000/12)/2</f>
        <v>4000</v>
      </c>
      <c r="D71" s="176" t="s">
        <v>525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>
        <f t="shared" si="1"/>
        <v>96000</v>
      </c>
      <c r="R71" s="10"/>
      <c r="S71" s="10"/>
    </row>
    <row r="72" spans="1:19" s="35" customFormat="1" ht="11.25">
      <c r="A72" s="18" t="s">
        <v>951</v>
      </c>
      <c r="B72" s="241">
        <v>4</v>
      </c>
      <c r="C72" s="11">
        <f>(336000/12)/4</f>
        <v>7000</v>
      </c>
      <c r="D72" s="176" t="s">
        <v>525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>
        <f t="shared" si="1"/>
        <v>336000</v>
      </c>
      <c r="R72" s="10"/>
      <c r="S72" s="10"/>
    </row>
    <row r="73" spans="1:19" s="35" customFormat="1" ht="11.25">
      <c r="A73" s="18" t="s">
        <v>945</v>
      </c>
      <c r="B73" s="241">
        <v>1</v>
      </c>
      <c r="C73" s="11">
        <v>2281.25</v>
      </c>
      <c r="D73" s="176" t="s">
        <v>525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>
        <f t="shared" si="1"/>
        <v>27375</v>
      </c>
      <c r="R73" s="10"/>
      <c r="S73" s="10"/>
    </row>
    <row r="74" spans="1:19" s="35" customFormat="1" ht="11.25">
      <c r="A74" s="18" t="s">
        <v>952</v>
      </c>
      <c r="B74" s="241">
        <v>3000</v>
      </c>
      <c r="C74" s="11">
        <v>1100</v>
      </c>
      <c r="D74" s="176" t="s">
        <v>525</v>
      </c>
      <c r="E74" s="11"/>
      <c r="F74" s="11"/>
      <c r="G74" s="11"/>
      <c r="H74" s="11"/>
      <c r="I74" s="11"/>
      <c r="J74" s="11"/>
      <c r="K74" s="11"/>
      <c r="L74" s="11"/>
      <c r="M74" s="11">
        <f>+C74*B74</f>
        <v>3300000</v>
      </c>
      <c r="N74" s="10"/>
      <c r="O74" s="10"/>
      <c r="P74" s="10"/>
      <c r="Q74" s="11"/>
      <c r="R74" s="10"/>
      <c r="S74" s="10"/>
    </row>
    <row r="75" spans="1:19" s="35" customFormat="1" ht="22.5">
      <c r="A75" s="18" t="s">
        <v>953</v>
      </c>
      <c r="B75" s="241">
        <v>1</v>
      </c>
      <c r="C75" s="11">
        <f>180000/12</f>
        <v>15000</v>
      </c>
      <c r="D75" s="176" t="s">
        <v>525</v>
      </c>
      <c r="E75" s="11"/>
      <c r="F75" s="11"/>
      <c r="G75" s="11"/>
      <c r="H75" s="11"/>
      <c r="I75" s="11"/>
      <c r="J75" s="11"/>
      <c r="K75" s="11"/>
      <c r="L75" s="11"/>
      <c r="M75" s="11">
        <f>+B75*C75*12</f>
        <v>180000</v>
      </c>
      <c r="N75" s="11"/>
      <c r="O75" s="11"/>
      <c r="P75" s="11"/>
      <c r="Q75" s="11"/>
      <c r="R75" s="10"/>
      <c r="S75" s="10"/>
    </row>
    <row r="76" spans="1:19" s="35" customFormat="1" ht="11.25">
      <c r="A76" s="18" t="s">
        <v>954</v>
      </c>
      <c r="B76" s="241">
        <v>4</v>
      </c>
      <c r="C76" s="11">
        <f>(528000/12)/4</f>
        <v>11000</v>
      </c>
      <c r="D76" s="176" t="s">
        <v>525</v>
      </c>
      <c r="E76" s="11"/>
      <c r="F76" s="11"/>
      <c r="G76" s="11"/>
      <c r="H76" s="11"/>
      <c r="I76" s="11"/>
      <c r="J76" s="11"/>
      <c r="K76" s="11"/>
      <c r="L76" s="11"/>
      <c r="M76" s="11">
        <f>+B76*C76*12</f>
        <v>528000</v>
      </c>
      <c r="N76" s="11"/>
      <c r="O76" s="11"/>
      <c r="P76" s="11"/>
      <c r="Q76" s="11"/>
      <c r="R76" s="10"/>
      <c r="S76" s="10"/>
    </row>
    <row r="77" spans="1:19" s="35" customFormat="1" ht="11.25">
      <c r="A77" s="18" t="s">
        <v>954</v>
      </c>
      <c r="B77" s="241">
        <v>3</v>
      </c>
      <c r="C77" s="11">
        <f>(288000/12)/3</f>
        <v>8000</v>
      </c>
      <c r="D77" s="176" t="s">
        <v>525</v>
      </c>
      <c r="E77" s="11"/>
      <c r="F77" s="11"/>
      <c r="G77" s="11"/>
      <c r="H77" s="11"/>
      <c r="I77" s="11"/>
      <c r="J77" s="11"/>
      <c r="K77" s="11"/>
      <c r="L77" s="11"/>
      <c r="M77" s="11">
        <f t="shared" ref="M77:M81" si="2">+B77*C77*12</f>
        <v>288000</v>
      </c>
      <c r="N77" s="11"/>
      <c r="O77" s="11"/>
      <c r="P77" s="11"/>
      <c r="Q77" s="11"/>
      <c r="R77" s="10"/>
      <c r="S77" s="10"/>
    </row>
    <row r="78" spans="1:19" s="35" customFormat="1" ht="11.25">
      <c r="A78" s="18" t="s">
        <v>954</v>
      </c>
      <c r="B78" s="241">
        <v>1</v>
      </c>
      <c r="C78" s="11">
        <f>48000/12</f>
        <v>4000</v>
      </c>
      <c r="D78" s="176" t="s">
        <v>525</v>
      </c>
      <c r="E78" s="11"/>
      <c r="F78" s="11"/>
      <c r="G78" s="11"/>
      <c r="H78" s="11"/>
      <c r="I78" s="11"/>
      <c r="J78" s="11"/>
      <c r="K78" s="11"/>
      <c r="L78" s="11"/>
      <c r="M78" s="11">
        <f t="shared" si="2"/>
        <v>48000</v>
      </c>
      <c r="N78" s="11"/>
      <c r="O78" s="11"/>
      <c r="P78" s="11"/>
      <c r="Q78" s="11"/>
      <c r="R78" s="10"/>
      <c r="S78" s="10"/>
    </row>
    <row r="79" spans="1:19" s="35" customFormat="1" ht="11.25">
      <c r="A79" s="18" t="s">
        <v>955</v>
      </c>
      <c r="B79" s="241">
        <v>1</v>
      </c>
      <c r="C79" s="11">
        <f>156000/12</f>
        <v>13000</v>
      </c>
      <c r="D79" s="176" t="s">
        <v>525</v>
      </c>
      <c r="E79" s="11"/>
      <c r="F79" s="11"/>
      <c r="G79" s="11"/>
      <c r="H79" s="11"/>
      <c r="I79" s="11"/>
      <c r="J79" s="11"/>
      <c r="K79" s="11"/>
      <c r="L79" s="11"/>
      <c r="M79" s="11">
        <f t="shared" si="2"/>
        <v>156000</v>
      </c>
      <c r="N79" s="11"/>
      <c r="O79" s="11"/>
      <c r="P79" s="11"/>
      <c r="Q79" s="11"/>
      <c r="R79" s="10"/>
      <c r="S79" s="10"/>
    </row>
    <row r="80" spans="1:19" s="35" customFormat="1" ht="22.5">
      <c r="A80" s="18" t="s">
        <v>956</v>
      </c>
      <c r="B80" s="241">
        <v>1</v>
      </c>
      <c r="C80" s="11">
        <f>240000/12</f>
        <v>20000</v>
      </c>
      <c r="D80" s="176" t="s">
        <v>525</v>
      </c>
      <c r="E80" s="11"/>
      <c r="F80" s="11"/>
      <c r="G80" s="11"/>
      <c r="H80" s="11"/>
      <c r="I80" s="11"/>
      <c r="J80" s="11"/>
      <c r="K80" s="11"/>
      <c r="L80" s="11"/>
      <c r="M80" s="11">
        <f t="shared" si="2"/>
        <v>240000</v>
      </c>
      <c r="N80" s="11"/>
      <c r="O80" s="11"/>
      <c r="P80" s="11"/>
      <c r="Q80" s="11"/>
      <c r="R80" s="10"/>
      <c r="S80" s="10"/>
    </row>
    <row r="81" spans="1:19" s="35" customFormat="1" ht="22.5">
      <c r="A81" s="18" t="s">
        <v>957</v>
      </c>
      <c r="B81" s="241">
        <v>1</v>
      </c>
      <c r="C81" s="11">
        <f>264000/12</f>
        <v>22000</v>
      </c>
      <c r="D81" s="176" t="s">
        <v>525</v>
      </c>
      <c r="E81" s="11"/>
      <c r="F81" s="11"/>
      <c r="G81" s="11"/>
      <c r="H81" s="11"/>
      <c r="I81" s="11"/>
      <c r="J81" s="11"/>
      <c r="K81" s="11"/>
      <c r="L81" s="11"/>
      <c r="M81" s="11">
        <f t="shared" si="2"/>
        <v>264000</v>
      </c>
      <c r="N81" s="11"/>
      <c r="O81" s="11"/>
      <c r="P81" s="11"/>
      <c r="Q81" s="11"/>
      <c r="R81" s="10"/>
      <c r="S81" s="10"/>
    </row>
    <row r="82" spans="1:19" s="35" customFormat="1" ht="11.25">
      <c r="A82" s="18" t="s">
        <v>958</v>
      </c>
      <c r="B82" s="241">
        <v>4</v>
      </c>
      <c r="C82" s="11">
        <v>16572</v>
      </c>
      <c r="D82" s="176" t="s">
        <v>525</v>
      </c>
      <c r="E82" s="11"/>
      <c r="F82" s="11"/>
      <c r="G82" s="11"/>
      <c r="H82" s="11"/>
      <c r="I82" s="11"/>
      <c r="J82" s="11"/>
      <c r="K82" s="11"/>
      <c r="L82" s="11"/>
      <c r="M82" s="11"/>
      <c r="N82" s="10"/>
      <c r="O82" s="10">
        <f>+C82*B82</f>
        <v>66288</v>
      </c>
      <c r="P82" s="10"/>
      <c r="Q82" s="10"/>
      <c r="R82" s="10"/>
      <c r="S82" s="10"/>
    </row>
    <row r="83" spans="1:19" s="35" customFormat="1" ht="11.25">
      <c r="A83" s="18" t="s">
        <v>958</v>
      </c>
      <c r="B83" s="241">
        <v>1</v>
      </c>
      <c r="C83" s="11">
        <f>144000/12</f>
        <v>12000</v>
      </c>
      <c r="D83" s="176" t="s">
        <v>525</v>
      </c>
      <c r="E83" s="11"/>
      <c r="F83" s="11"/>
      <c r="G83" s="11"/>
      <c r="H83" s="11"/>
      <c r="I83" s="11"/>
      <c r="J83" s="11"/>
      <c r="K83" s="11"/>
      <c r="L83" s="11"/>
      <c r="M83" s="11"/>
      <c r="N83" s="10"/>
      <c r="O83" s="10"/>
      <c r="P83" s="10">
        <f>+C83*B83*12</f>
        <v>144000</v>
      </c>
      <c r="Q83" s="10"/>
      <c r="R83" s="10"/>
      <c r="S83" s="10"/>
    </row>
    <row r="84" spans="1:19" s="35" customFormat="1">
      <c r="A84" s="349" t="s">
        <v>969</v>
      </c>
      <c r="B84" s="241"/>
      <c r="C84" s="11"/>
      <c r="D84" s="176"/>
      <c r="E84" s="11"/>
      <c r="F84" s="11"/>
      <c r="G84" s="11"/>
      <c r="H84" s="11"/>
      <c r="I84" s="11"/>
      <c r="J84" s="11"/>
      <c r="K84" s="11"/>
      <c r="L84" s="11"/>
      <c r="M84" s="11"/>
      <c r="N84" s="10"/>
      <c r="O84" s="10"/>
      <c r="P84" s="10"/>
      <c r="Q84" s="10"/>
      <c r="R84" s="340">
        <f>738000+91577</f>
        <v>829577</v>
      </c>
      <c r="S84" s="10"/>
    </row>
    <row r="85" spans="1:19" s="35" customFormat="1">
      <c r="A85" s="349" t="s">
        <v>964</v>
      </c>
      <c r="B85" s="241"/>
      <c r="C85" s="11"/>
      <c r="D85" s="176"/>
      <c r="E85" s="11"/>
      <c r="F85" s="11"/>
      <c r="G85" s="11"/>
      <c r="H85" s="11"/>
      <c r="I85" s="11"/>
      <c r="J85" s="11"/>
      <c r="K85" s="11"/>
      <c r="L85" s="11"/>
      <c r="M85" s="11"/>
      <c r="N85" s="10"/>
      <c r="O85" s="10"/>
      <c r="P85" s="10"/>
      <c r="Q85" s="10"/>
      <c r="R85" s="10"/>
      <c r="S85" s="340">
        <f>738000+91577</f>
        <v>829577</v>
      </c>
    </row>
    <row r="86" spans="1:19" s="177" customFormat="1" ht="13.5" thickBot="1">
      <c r="A86" s="341"/>
      <c r="B86" s="342">
        <f>SUM(B7:B52)</f>
        <v>46</v>
      </c>
      <c r="C86" s="343"/>
      <c r="D86" s="344"/>
      <c r="E86" s="345">
        <f t="shared" ref="E86:L86" si="3">SUM(E7:E52)</f>
        <v>121200</v>
      </c>
      <c r="F86" s="346">
        <f t="shared" si="3"/>
        <v>468000</v>
      </c>
      <c r="G86" s="346">
        <f t="shared" si="3"/>
        <v>9000</v>
      </c>
      <c r="H86" s="346">
        <f t="shared" si="3"/>
        <v>54000</v>
      </c>
      <c r="I86" s="346">
        <f>SUM(I7:I52)</f>
        <v>2622000</v>
      </c>
      <c r="J86" s="346">
        <f t="shared" si="3"/>
        <v>53350</v>
      </c>
      <c r="K86" s="346">
        <f t="shared" si="3"/>
        <v>53350</v>
      </c>
      <c r="L86" s="346">
        <f t="shared" si="3"/>
        <v>800</v>
      </c>
      <c r="M86" s="346">
        <f>+SUM(M52:M83)</f>
        <v>5004000</v>
      </c>
      <c r="N86" s="346">
        <f t="shared" ref="N86:Q86" si="4">+SUM(N52:N83)</f>
        <v>180000</v>
      </c>
      <c r="O86" s="346">
        <f t="shared" si="4"/>
        <v>66288</v>
      </c>
      <c r="P86" s="346">
        <f t="shared" si="4"/>
        <v>144000</v>
      </c>
      <c r="Q86" s="346">
        <f t="shared" si="4"/>
        <v>3545775</v>
      </c>
      <c r="R86" s="347">
        <f>738000+91577</f>
        <v>829577</v>
      </c>
      <c r="S86" s="347">
        <f>738000+91577</f>
        <v>829577</v>
      </c>
    </row>
    <row r="87" spans="1:19" s="24" customFormat="1" ht="15.75" thickBot="1">
      <c r="A87" s="1000" t="s">
        <v>85</v>
      </c>
      <c r="B87" s="1001"/>
      <c r="C87" s="1001"/>
      <c r="D87" s="1001"/>
      <c r="E87" s="1001"/>
      <c r="F87" s="1001"/>
      <c r="G87" s="1001"/>
      <c r="H87" s="1001"/>
      <c r="I87" s="1001"/>
      <c r="J87" s="1001"/>
      <c r="K87" s="1001"/>
      <c r="L87" s="1002"/>
      <c r="M87" s="1002"/>
      <c r="N87" s="1002"/>
      <c r="O87" s="1002"/>
      <c r="P87" s="1002"/>
      <c r="Q87" s="1002"/>
      <c r="R87" s="348"/>
      <c r="S87" s="636">
        <f>E86+F86+G86+H86+I86+J86+K86+L86+M86+N86+O86+P86+Q86+R86+S86</f>
        <v>13980917</v>
      </c>
    </row>
    <row r="88" spans="1:19" s="24" customFormat="1" ht="11.25">
      <c r="B88" s="155"/>
      <c r="D88" s="155"/>
      <c r="I88" s="172"/>
      <c r="L88" s="173"/>
      <c r="M88" s="173"/>
      <c r="N88" s="174"/>
      <c r="O88" s="174"/>
      <c r="P88" s="174"/>
    </row>
    <row r="89" spans="1:19" s="24" customFormat="1" ht="11.25">
      <c r="B89" s="155"/>
      <c r="D89" s="155"/>
      <c r="L89" s="173"/>
      <c r="M89" s="173"/>
      <c r="N89" s="171"/>
      <c r="O89" s="171"/>
      <c r="P89" s="171"/>
    </row>
    <row r="90" spans="1:19" s="24" customFormat="1" ht="11.25">
      <c r="B90" s="155"/>
      <c r="D90" s="155"/>
      <c r="L90" s="173"/>
      <c r="M90" s="173"/>
      <c r="N90" s="171"/>
      <c r="P90" s="171"/>
    </row>
    <row r="91" spans="1:19" s="24" customFormat="1" ht="11.25">
      <c r="B91" s="155"/>
      <c r="D91" s="155"/>
      <c r="N91" s="171"/>
      <c r="P91" s="171"/>
    </row>
    <row r="92" spans="1:19">
      <c r="N92" s="162"/>
      <c r="P92" s="162"/>
    </row>
    <row r="93" spans="1:19">
      <c r="N93" s="164"/>
      <c r="P93" s="164"/>
    </row>
    <row r="94" spans="1:19">
      <c r="N94" s="164"/>
      <c r="O94" s="164"/>
      <c r="P94" s="164"/>
    </row>
    <row r="95" spans="1:19">
      <c r="L95" s="54"/>
      <c r="M95" s="54"/>
      <c r="N95" s="164"/>
      <c r="O95" s="164"/>
      <c r="P95" s="164"/>
    </row>
    <row r="96" spans="1:19">
      <c r="N96" s="164"/>
      <c r="O96" s="164"/>
      <c r="P96" s="164"/>
    </row>
    <row r="97" spans="2:19">
      <c r="L97" s="54"/>
      <c r="M97" s="54"/>
      <c r="N97" s="162"/>
      <c r="O97" s="162"/>
      <c r="P97" s="162"/>
    </row>
    <row r="98" spans="2:19">
      <c r="B98" s="22"/>
      <c r="D98" s="22"/>
      <c r="N98" s="162"/>
      <c r="O98" s="162"/>
      <c r="P98" s="162"/>
      <c r="Q98" s="161"/>
      <c r="R98" s="163"/>
    </row>
    <row r="99" spans="2:19">
      <c r="B99" s="22"/>
      <c r="D99" s="22"/>
      <c r="N99" s="162"/>
      <c r="O99" s="162"/>
      <c r="P99" s="162"/>
    </row>
    <row r="100" spans="2:19">
      <c r="B100" s="22"/>
      <c r="D100" s="22"/>
      <c r="N100" s="162"/>
      <c r="O100" s="162"/>
      <c r="P100" s="162"/>
      <c r="Q100" s="161"/>
      <c r="R100" s="163"/>
      <c r="S100" s="163"/>
    </row>
    <row r="101" spans="2:19">
      <c r="B101" s="22"/>
      <c r="D101" s="22"/>
      <c r="N101" s="162"/>
      <c r="O101" s="162"/>
      <c r="P101" s="162"/>
    </row>
    <row r="102" spans="2:19">
      <c r="B102" s="22"/>
      <c r="D102" s="22"/>
      <c r="L102" s="54"/>
      <c r="M102" s="54"/>
      <c r="N102" s="162"/>
      <c r="O102" s="162"/>
      <c r="P102" s="162"/>
      <c r="Q102" s="161"/>
    </row>
    <row r="103" spans="2:19">
      <c r="B103" s="22"/>
      <c r="D103" s="22"/>
      <c r="L103" s="54"/>
      <c r="M103" s="54"/>
      <c r="N103" s="162"/>
      <c r="O103" s="162"/>
      <c r="P103" s="162"/>
      <c r="Q103" s="163"/>
      <c r="R103" s="163"/>
    </row>
    <row r="104" spans="2:19">
      <c r="B104" s="22"/>
      <c r="D104" s="22"/>
      <c r="L104" s="54"/>
      <c r="M104" s="54"/>
      <c r="N104" s="164"/>
      <c r="O104" s="164"/>
      <c r="P104" s="164"/>
    </row>
    <row r="105" spans="2:19">
      <c r="B105" s="22"/>
      <c r="D105" s="22"/>
      <c r="N105" s="164"/>
      <c r="O105" s="164"/>
      <c r="P105" s="164"/>
    </row>
    <row r="106" spans="2:19">
      <c r="B106" s="22"/>
      <c r="D106" s="22"/>
      <c r="N106" s="164"/>
      <c r="O106" s="164"/>
      <c r="P106" s="164"/>
    </row>
    <row r="107" spans="2:19">
      <c r="B107" s="22"/>
      <c r="D107" s="22"/>
      <c r="N107" s="56"/>
      <c r="O107" s="56"/>
      <c r="P107" s="56"/>
    </row>
    <row r="108" spans="2:19">
      <c r="B108" s="22"/>
      <c r="D108" s="22"/>
      <c r="N108" s="56"/>
      <c r="O108" s="56"/>
      <c r="P108" s="56"/>
    </row>
    <row r="109" spans="2:19">
      <c r="B109" s="22"/>
      <c r="D109" s="22"/>
      <c r="N109" s="56"/>
      <c r="O109" s="56"/>
      <c r="P109" s="56"/>
    </row>
    <row r="110" spans="2:19">
      <c r="B110" s="22"/>
      <c r="D110" s="22"/>
      <c r="N110" s="56"/>
      <c r="O110" s="56"/>
      <c r="P110" s="56"/>
    </row>
    <row r="111" spans="2:19">
      <c r="B111" s="22"/>
      <c r="D111" s="22"/>
      <c r="N111" s="165"/>
      <c r="O111" s="165"/>
      <c r="P111" s="165"/>
    </row>
    <row r="112" spans="2:19">
      <c r="B112" s="22"/>
      <c r="D112" s="22"/>
      <c r="N112" s="56"/>
      <c r="O112" s="56"/>
      <c r="P112" s="56"/>
    </row>
    <row r="113" spans="2:18">
      <c r="B113" s="22"/>
      <c r="D113" s="22"/>
      <c r="N113" s="162"/>
      <c r="O113" s="162"/>
      <c r="P113" s="162"/>
      <c r="Q113" s="161"/>
      <c r="R113" s="166"/>
    </row>
    <row r="114" spans="2:18">
      <c r="B114" s="22"/>
      <c r="D114" s="22"/>
      <c r="N114" s="162"/>
      <c r="O114" s="162"/>
      <c r="P114" s="162"/>
      <c r="Q114" s="161"/>
      <c r="R114" s="166"/>
    </row>
    <row r="115" spans="2:18">
      <c r="B115" s="22"/>
      <c r="D115" s="22"/>
      <c r="N115" s="162"/>
      <c r="O115" s="162"/>
      <c r="P115" s="162"/>
      <c r="Q115" s="161"/>
      <c r="R115" s="166"/>
    </row>
    <row r="116" spans="2:18">
      <c r="B116" s="22"/>
      <c r="D116" s="22"/>
      <c r="N116" s="162"/>
      <c r="O116" s="162"/>
      <c r="P116" s="162"/>
      <c r="Q116" s="161"/>
      <c r="R116" s="166"/>
    </row>
    <row r="117" spans="2:18">
      <c r="B117" s="22"/>
      <c r="D117" s="22"/>
      <c r="N117" s="162"/>
      <c r="O117" s="162"/>
      <c r="P117" s="162"/>
      <c r="Q117" s="161"/>
      <c r="R117" s="166"/>
    </row>
    <row r="118" spans="2:18">
      <c r="B118" s="22"/>
      <c r="D118" s="22"/>
      <c r="N118" s="162"/>
      <c r="O118" s="162"/>
      <c r="P118" s="162"/>
      <c r="Q118" s="161"/>
      <c r="R118" s="166"/>
    </row>
    <row r="119" spans="2:18">
      <c r="B119" s="22"/>
      <c r="D119" s="22"/>
      <c r="N119" s="162"/>
      <c r="O119" s="162"/>
      <c r="P119" s="162"/>
      <c r="Q119" s="161"/>
      <c r="R119" s="166"/>
    </row>
    <row r="120" spans="2:18">
      <c r="B120" s="22"/>
      <c r="D120" s="22"/>
      <c r="N120" s="162"/>
      <c r="O120" s="162"/>
      <c r="P120" s="162"/>
      <c r="Q120" s="161"/>
      <c r="R120" s="166"/>
    </row>
    <row r="121" spans="2:18">
      <c r="B121" s="22"/>
      <c r="D121" s="22"/>
      <c r="N121" s="162"/>
      <c r="O121" s="162"/>
      <c r="P121" s="162"/>
      <c r="Q121" s="161"/>
      <c r="R121" s="166"/>
    </row>
    <row r="122" spans="2:18">
      <c r="B122" s="22"/>
      <c r="D122" s="22"/>
      <c r="N122" s="162"/>
      <c r="O122" s="162"/>
      <c r="P122" s="162"/>
      <c r="Q122" s="161"/>
      <c r="R122" s="166"/>
    </row>
    <row r="123" spans="2:18">
      <c r="B123" s="22"/>
      <c r="D123" s="22"/>
      <c r="N123" s="162"/>
      <c r="O123" s="162"/>
      <c r="P123" s="162"/>
      <c r="Q123" s="161"/>
      <c r="R123" s="166"/>
    </row>
    <row r="124" spans="2:18">
      <c r="B124" s="22"/>
      <c r="D124" s="22"/>
      <c r="N124" s="162"/>
      <c r="O124" s="162"/>
      <c r="P124" s="162"/>
      <c r="Q124" s="161"/>
      <c r="R124" s="166"/>
    </row>
    <row r="125" spans="2:18">
      <c r="B125" s="22"/>
      <c r="D125" s="22"/>
      <c r="N125" s="162"/>
      <c r="O125" s="162"/>
      <c r="P125" s="162"/>
      <c r="Q125" s="161"/>
      <c r="R125" s="166"/>
    </row>
    <row r="126" spans="2:18">
      <c r="B126" s="22"/>
      <c r="D126" s="22"/>
      <c r="N126" s="162"/>
      <c r="O126" s="162"/>
      <c r="P126" s="162"/>
      <c r="Q126" s="161"/>
      <c r="R126" s="166"/>
    </row>
    <row r="127" spans="2:18">
      <c r="B127" s="22"/>
      <c r="D127" s="22"/>
      <c r="N127" s="162"/>
      <c r="O127" s="162"/>
      <c r="P127" s="162"/>
      <c r="Q127" s="161"/>
      <c r="R127" s="166"/>
    </row>
    <row r="128" spans="2:18">
      <c r="B128" s="22"/>
      <c r="D128" s="22"/>
      <c r="N128" s="162"/>
      <c r="O128" s="162"/>
      <c r="P128" s="162"/>
      <c r="Q128" s="161"/>
      <c r="R128" s="166"/>
    </row>
    <row r="129" spans="2:19">
      <c r="B129" s="22"/>
      <c r="D129" s="22"/>
      <c r="N129" s="162"/>
      <c r="O129" s="162"/>
      <c r="P129" s="162"/>
      <c r="Q129" s="161"/>
      <c r="R129" s="166"/>
    </row>
    <row r="130" spans="2:19">
      <c r="B130" s="22"/>
      <c r="D130" s="22"/>
      <c r="N130" s="162"/>
      <c r="O130" s="162"/>
      <c r="P130" s="162"/>
      <c r="Q130" s="161"/>
      <c r="R130" s="166"/>
    </row>
    <row r="131" spans="2:19">
      <c r="B131" s="22"/>
      <c r="D131" s="22"/>
      <c r="N131" s="164"/>
      <c r="O131" s="164"/>
      <c r="P131" s="164"/>
      <c r="Q131" s="163"/>
      <c r="R131" s="163"/>
    </row>
    <row r="132" spans="2:19">
      <c r="B132" s="22"/>
      <c r="D132" s="22"/>
      <c r="N132" s="56"/>
      <c r="O132" s="56"/>
      <c r="P132" s="56"/>
    </row>
    <row r="133" spans="2:19">
      <c r="B133" s="22"/>
      <c r="D133" s="22"/>
      <c r="N133" s="56"/>
      <c r="O133" s="56"/>
      <c r="P133" s="56"/>
    </row>
    <row r="134" spans="2:19">
      <c r="B134" s="22"/>
      <c r="D134" s="22"/>
      <c r="N134" s="56"/>
      <c r="O134" s="56"/>
      <c r="P134" s="56"/>
      <c r="Q134" s="167"/>
      <c r="R134" s="161"/>
      <c r="S134" s="163"/>
    </row>
    <row r="135" spans="2:19">
      <c r="B135" s="22"/>
      <c r="D135" s="22"/>
      <c r="N135" s="56"/>
      <c r="O135" s="56"/>
      <c r="P135" s="56"/>
      <c r="Q135" s="167"/>
      <c r="R135" s="161"/>
      <c r="S135" s="163"/>
    </row>
    <row r="136" spans="2:19">
      <c r="B136" s="22"/>
      <c r="D136" s="22"/>
      <c r="N136" s="56"/>
      <c r="O136" s="56"/>
      <c r="P136" s="56"/>
      <c r="Q136" s="168"/>
    </row>
    <row r="137" spans="2:19">
      <c r="B137" s="22"/>
      <c r="D137" s="22"/>
      <c r="N137" s="56"/>
      <c r="O137" s="56"/>
      <c r="P137" s="56"/>
    </row>
    <row r="138" spans="2:19">
      <c r="B138" s="22"/>
      <c r="D138" s="22"/>
      <c r="N138" s="56"/>
      <c r="O138" s="56"/>
      <c r="P138" s="56"/>
      <c r="Q138" s="161"/>
    </row>
    <row r="139" spans="2:19">
      <c r="B139" s="22"/>
      <c r="D139" s="22"/>
      <c r="N139" s="56"/>
      <c r="O139" s="56"/>
      <c r="P139" s="56"/>
      <c r="Q139" s="161"/>
    </row>
    <row r="140" spans="2:19">
      <c r="B140" s="22"/>
      <c r="D140" s="22"/>
      <c r="N140" s="56"/>
      <c r="O140" s="56"/>
      <c r="P140" s="56"/>
      <c r="Q140" s="163"/>
    </row>
    <row r="141" spans="2:19">
      <c r="B141" s="22"/>
      <c r="D141" s="22"/>
      <c r="N141" s="164"/>
      <c r="O141" s="164"/>
      <c r="P141" s="164"/>
    </row>
    <row r="142" spans="2:19">
      <c r="B142" s="22"/>
      <c r="D142" s="22"/>
      <c r="N142" s="164"/>
      <c r="O142" s="164"/>
      <c r="P142" s="164"/>
      <c r="Q142" s="163"/>
    </row>
    <row r="143" spans="2:19">
      <c r="B143" s="22"/>
      <c r="D143" s="22"/>
      <c r="N143" s="56"/>
      <c r="O143" s="56"/>
      <c r="P143" s="56"/>
    </row>
    <row r="144" spans="2:19">
      <c r="B144" s="22"/>
      <c r="D144" s="22"/>
      <c r="N144" s="56"/>
      <c r="O144" s="56"/>
      <c r="P144" s="56"/>
    </row>
    <row r="145" spans="2:17">
      <c r="B145" s="22"/>
      <c r="D145" s="22"/>
      <c r="N145" s="56"/>
      <c r="O145" s="56"/>
      <c r="P145" s="56"/>
    </row>
    <row r="146" spans="2:17">
      <c r="B146" s="22"/>
      <c r="D146" s="22"/>
      <c r="L146" s="54"/>
      <c r="M146" s="54"/>
      <c r="N146" s="162"/>
      <c r="O146" s="162"/>
      <c r="P146" s="162"/>
    </row>
    <row r="147" spans="2:17">
      <c r="B147" s="22"/>
      <c r="D147" s="22"/>
      <c r="N147" s="162"/>
      <c r="O147" s="162"/>
      <c r="P147" s="162"/>
    </row>
    <row r="148" spans="2:17">
      <c r="B148" s="22"/>
      <c r="D148" s="22"/>
      <c r="N148" s="162"/>
      <c r="O148" s="162"/>
      <c r="P148" s="162"/>
    </row>
    <row r="149" spans="2:17">
      <c r="B149" s="22"/>
      <c r="D149" s="22"/>
      <c r="N149" s="162"/>
      <c r="O149" s="162"/>
      <c r="P149" s="162"/>
    </row>
    <row r="150" spans="2:17">
      <c r="B150" s="22"/>
      <c r="D150" s="22"/>
      <c r="N150" s="162"/>
      <c r="O150" s="162"/>
      <c r="P150" s="162"/>
    </row>
    <row r="151" spans="2:17">
      <c r="B151" s="22"/>
      <c r="D151" s="22"/>
      <c r="N151" s="162"/>
      <c r="O151" s="162"/>
      <c r="P151" s="162"/>
    </row>
    <row r="152" spans="2:17">
      <c r="B152" s="22"/>
      <c r="D152" s="22"/>
      <c r="L152" s="54"/>
      <c r="M152" s="54"/>
      <c r="N152" s="162"/>
      <c r="O152" s="162"/>
      <c r="P152" s="162"/>
      <c r="Q152" s="163"/>
    </row>
    <row r="153" spans="2:17">
      <c r="B153" s="22"/>
      <c r="D153" s="22"/>
      <c r="L153" s="54"/>
      <c r="M153" s="54"/>
      <c r="N153" s="162"/>
      <c r="O153" s="162"/>
      <c r="P153" s="162"/>
    </row>
    <row r="154" spans="2:17">
      <c r="B154" s="22"/>
      <c r="D154" s="22"/>
      <c r="L154" s="54"/>
      <c r="M154" s="54"/>
      <c r="N154" s="164"/>
      <c r="O154" s="164"/>
      <c r="P154" s="164"/>
    </row>
    <row r="155" spans="2:17">
      <c r="B155" s="22"/>
      <c r="D155" s="22"/>
      <c r="L155" s="54"/>
      <c r="M155" s="54"/>
      <c r="N155" s="164"/>
      <c r="O155" s="164"/>
      <c r="P155" s="164"/>
    </row>
    <row r="156" spans="2:17">
      <c r="B156" s="22"/>
      <c r="D156" s="22"/>
      <c r="N156" s="164"/>
      <c r="O156" s="164"/>
      <c r="P156" s="164"/>
    </row>
    <row r="157" spans="2:17">
      <c r="B157" s="22"/>
      <c r="D157" s="22"/>
      <c r="N157" s="164"/>
      <c r="O157" s="164"/>
      <c r="P157" s="164"/>
    </row>
    <row r="158" spans="2:17">
      <c r="B158" s="22"/>
      <c r="D158" s="22"/>
      <c r="N158" s="164"/>
      <c r="O158" s="164"/>
      <c r="P158" s="164"/>
    </row>
    <row r="159" spans="2:17">
      <c r="B159" s="22"/>
      <c r="D159" s="22"/>
      <c r="N159" s="56"/>
      <c r="O159" s="56"/>
      <c r="P159" s="56"/>
    </row>
    <row r="160" spans="2:17">
      <c r="B160" s="22"/>
      <c r="D160" s="22"/>
      <c r="N160" s="56"/>
      <c r="O160" s="56"/>
      <c r="P160" s="56"/>
    </row>
    <row r="161" spans="2:19">
      <c r="B161" s="22"/>
      <c r="D161" s="22"/>
      <c r="N161" s="56"/>
      <c r="O161" s="56"/>
      <c r="P161" s="56"/>
    </row>
    <row r="162" spans="2:19">
      <c r="B162" s="22"/>
      <c r="D162" s="22"/>
      <c r="N162" s="56"/>
      <c r="O162" s="56"/>
      <c r="P162" s="56"/>
    </row>
    <row r="163" spans="2:19">
      <c r="B163" s="22"/>
      <c r="D163" s="22"/>
      <c r="N163" s="56"/>
      <c r="O163" s="56"/>
      <c r="P163" s="56"/>
    </row>
    <row r="164" spans="2:19">
      <c r="B164" s="22"/>
      <c r="D164" s="22"/>
      <c r="K164" s="128"/>
      <c r="L164" s="128"/>
      <c r="M164" s="128"/>
      <c r="N164" s="56"/>
      <c r="O164" s="56"/>
      <c r="P164" s="56"/>
      <c r="Q164" s="128"/>
      <c r="R164" s="128"/>
      <c r="S164" s="128"/>
    </row>
    <row r="165" spans="2:19">
      <c r="B165" s="22"/>
      <c r="D165" s="22"/>
      <c r="K165" s="159"/>
      <c r="L165" s="159"/>
      <c r="M165" s="159"/>
      <c r="N165" s="160"/>
      <c r="O165" s="160"/>
      <c r="P165" s="160"/>
      <c r="Q165" s="159"/>
      <c r="R165" s="159"/>
      <c r="S165" s="159"/>
    </row>
    <row r="166" spans="2:19">
      <c r="B166" s="22"/>
      <c r="D166" s="22"/>
      <c r="K166" s="169"/>
      <c r="L166" s="169"/>
      <c r="M166" s="169"/>
      <c r="N166" s="162"/>
      <c r="O166" s="162"/>
      <c r="P166" s="162"/>
      <c r="Q166" s="169"/>
      <c r="R166" s="169"/>
      <c r="S166" s="169"/>
    </row>
    <row r="167" spans="2:19">
      <c r="B167" s="22"/>
      <c r="D167" s="22"/>
      <c r="K167" s="128"/>
      <c r="L167" s="169"/>
      <c r="M167" s="169"/>
      <c r="N167" s="162"/>
      <c r="O167" s="162"/>
      <c r="P167" s="162"/>
      <c r="Q167" s="169"/>
      <c r="R167" s="128"/>
      <c r="S167" s="128"/>
    </row>
    <row r="168" spans="2:19">
      <c r="B168" s="22"/>
      <c r="D168" s="22"/>
      <c r="K168" s="128"/>
      <c r="L168" s="169"/>
      <c r="M168" s="169"/>
      <c r="N168" s="162"/>
      <c r="O168" s="162"/>
      <c r="P168" s="162"/>
      <c r="Q168" s="169"/>
      <c r="R168" s="128"/>
      <c r="S168" s="128"/>
    </row>
    <row r="169" spans="2:19">
      <c r="B169" s="22"/>
      <c r="D169" s="22"/>
      <c r="K169" s="128"/>
      <c r="L169" s="169"/>
      <c r="M169" s="169"/>
      <c r="N169" s="56"/>
      <c r="O169" s="56"/>
      <c r="P169" s="56"/>
      <c r="Q169" s="128"/>
      <c r="R169" s="128"/>
      <c r="S169" s="128"/>
    </row>
    <row r="170" spans="2:19">
      <c r="B170" s="22"/>
      <c r="D170" s="22"/>
      <c r="K170" s="169"/>
      <c r="L170" s="169"/>
      <c r="M170" s="169"/>
      <c r="N170" s="162"/>
      <c r="O170" s="162"/>
      <c r="P170" s="162"/>
      <c r="Q170" s="169"/>
      <c r="R170" s="169"/>
      <c r="S170" s="169"/>
    </row>
    <row r="171" spans="2:19">
      <c r="B171" s="22"/>
      <c r="D171" s="22"/>
      <c r="K171" s="170"/>
      <c r="L171" s="170"/>
      <c r="M171" s="170"/>
      <c r="N171" s="164"/>
      <c r="O171" s="164"/>
      <c r="P171" s="164"/>
      <c r="Q171" s="170"/>
      <c r="R171" s="170"/>
      <c r="S171" s="170"/>
    </row>
    <row r="172" spans="2:19">
      <c r="B172" s="22"/>
      <c r="D172" s="22"/>
      <c r="N172" s="56"/>
      <c r="O172" s="56"/>
      <c r="P172" s="56"/>
    </row>
  </sheetData>
  <mergeCells count="10">
    <mergeCell ref="A87:K87"/>
    <mergeCell ref="L87:Q87"/>
    <mergeCell ref="A2:D2"/>
    <mergeCell ref="A3:D3"/>
    <mergeCell ref="A4:D4"/>
    <mergeCell ref="A5:A6"/>
    <mergeCell ref="B5:B6"/>
    <mergeCell ref="C5:C6"/>
    <mergeCell ref="D5:D6"/>
    <mergeCell ref="E5:S5"/>
  </mergeCells>
  <pageMargins left="0.70866141732283472" right="0.70866141732283472" top="0.74803149606299213" bottom="0.74803149606299213" header="0.31496062992125984" footer="0.31496062992125984"/>
  <pageSetup paperSize="17" scale="6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6"/>
  <sheetViews>
    <sheetView view="pageBreakPreview" topLeftCell="S1" zoomScale="87" zoomScaleNormal="100" zoomScaleSheetLayoutView="87" workbookViewId="0">
      <selection activeCell="N48" sqref="N48"/>
    </sheetView>
  </sheetViews>
  <sheetFormatPr baseColWidth="10" defaultColWidth="11.42578125" defaultRowHeight="12.75"/>
  <cols>
    <col min="1" max="1" width="51.7109375" style="83" customWidth="1"/>
    <col min="2" max="2" width="14.28515625" style="93" customWidth="1"/>
    <col min="3" max="3" width="16.85546875" style="83" customWidth="1"/>
    <col min="4" max="4" width="14.28515625" style="83" customWidth="1"/>
    <col min="5" max="5" width="45" style="93" bestFit="1" customWidth="1"/>
    <col min="6" max="10" width="4.140625" style="83" hidden="1" customWidth="1"/>
    <col min="11" max="11" width="16.5703125" style="83" customWidth="1"/>
    <col min="12" max="12" width="20.140625" style="83" customWidth="1"/>
    <col min="13" max="14" width="16.5703125" style="83" customWidth="1"/>
    <col min="15" max="15" width="21.140625" style="83" customWidth="1"/>
    <col min="16" max="17" width="16.5703125" style="83" hidden="1" customWidth="1"/>
    <col min="18" max="18" width="14.140625" style="83" hidden="1" customWidth="1"/>
    <col min="19" max="19" width="19" style="83" customWidth="1"/>
    <col min="20" max="20" width="18" style="83" customWidth="1"/>
    <col min="21" max="21" width="22" style="83" customWidth="1"/>
    <col min="22" max="256" width="6.42578125" style="83" customWidth="1"/>
    <col min="257" max="16384" width="11.42578125" style="84"/>
  </cols>
  <sheetData>
    <row r="1" spans="1:256" ht="15.75">
      <c r="A1" s="564" t="s">
        <v>25</v>
      </c>
      <c r="B1" s="565"/>
      <c r="C1" s="566"/>
      <c r="D1" s="565"/>
      <c r="E1" s="565"/>
      <c r="F1" s="565"/>
      <c r="G1" s="565"/>
    </row>
    <row r="2" spans="1:256" ht="15.75">
      <c r="A2" s="1003" t="s">
        <v>26</v>
      </c>
      <c r="B2" s="1003"/>
      <c r="C2" s="1003"/>
      <c r="D2" s="1003"/>
      <c r="E2" s="1003"/>
      <c r="F2" s="1003"/>
      <c r="G2" s="1003"/>
    </row>
    <row r="3" spans="1:256" ht="12.75" customHeight="1">
      <c r="A3" s="1003" t="s">
        <v>469</v>
      </c>
      <c r="B3" s="1003"/>
      <c r="C3" s="1003"/>
      <c r="D3" s="1003"/>
      <c r="E3" s="1003"/>
      <c r="F3" s="1003"/>
      <c r="G3" s="1003"/>
    </row>
    <row r="4" spans="1:256" ht="15.75">
      <c r="A4" s="1003" t="s">
        <v>28</v>
      </c>
      <c r="B4" s="1003"/>
      <c r="C4" s="1003"/>
      <c r="D4" s="1003"/>
      <c r="E4" s="1003"/>
      <c r="F4" s="1003"/>
      <c r="G4" s="1003"/>
    </row>
    <row r="5" spans="1:256" s="80" customFormat="1">
      <c r="A5" s="1006" t="s">
        <v>473</v>
      </c>
      <c r="B5" s="1008" t="s">
        <v>36</v>
      </c>
      <c r="C5" s="1006" t="s">
        <v>37</v>
      </c>
      <c r="D5" s="1004" t="s">
        <v>523</v>
      </c>
      <c r="E5" s="1006" t="s">
        <v>38</v>
      </c>
      <c r="F5" s="94"/>
      <c r="G5" s="94"/>
      <c r="H5" s="94"/>
      <c r="I5" s="94"/>
      <c r="J5" s="94"/>
      <c r="K5" s="1009" t="s">
        <v>464</v>
      </c>
      <c r="L5" s="1010"/>
      <c r="M5" s="1010"/>
      <c r="N5" s="1010"/>
      <c r="O5" s="1010"/>
      <c r="P5" s="1010"/>
      <c r="Q5" s="1010"/>
      <c r="R5" s="1010"/>
      <c r="S5" s="1010"/>
      <c r="T5" s="1010"/>
      <c r="U5" s="101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  <c r="HR5" s="79"/>
      <c r="HS5" s="79"/>
      <c r="HT5" s="79"/>
      <c r="HU5" s="79"/>
      <c r="HV5" s="79"/>
      <c r="HW5" s="79"/>
      <c r="HX5" s="79"/>
      <c r="HY5" s="79"/>
      <c r="HZ5" s="79"/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  <c r="IU5" s="79"/>
      <c r="IV5" s="79"/>
    </row>
    <row r="6" spans="1:256" s="80" customFormat="1" ht="27.75" customHeight="1">
      <c r="A6" s="1007" t="s">
        <v>29</v>
      </c>
      <c r="B6" s="1008"/>
      <c r="C6" s="1008"/>
      <c r="D6" s="1005"/>
      <c r="E6" s="1008" t="s">
        <v>31</v>
      </c>
      <c r="F6" s="95">
        <v>11</v>
      </c>
      <c r="G6" s="95">
        <v>12</v>
      </c>
      <c r="H6" s="95">
        <v>13</v>
      </c>
      <c r="I6" s="95">
        <v>14</v>
      </c>
      <c r="J6" s="95">
        <v>15</v>
      </c>
      <c r="K6" s="95">
        <v>21</v>
      </c>
      <c r="L6" s="95">
        <v>22</v>
      </c>
      <c r="M6" s="95">
        <v>26</v>
      </c>
      <c r="N6" s="95">
        <v>27</v>
      </c>
      <c r="O6" s="95">
        <v>29</v>
      </c>
      <c r="P6" s="95">
        <v>31</v>
      </c>
      <c r="Q6" s="95">
        <v>32</v>
      </c>
      <c r="R6" s="95">
        <v>33</v>
      </c>
      <c r="S6" s="95">
        <v>71</v>
      </c>
      <c r="T6" s="95">
        <v>72</v>
      </c>
      <c r="U6" s="95">
        <v>73</v>
      </c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79"/>
      <c r="FC6" s="79"/>
      <c r="FD6" s="79"/>
      <c r="FE6" s="79"/>
      <c r="FF6" s="79"/>
      <c r="FG6" s="79"/>
      <c r="FH6" s="79"/>
      <c r="FI6" s="79"/>
      <c r="FJ6" s="79"/>
      <c r="FK6" s="79"/>
      <c r="FL6" s="79"/>
      <c r="FM6" s="79"/>
      <c r="FN6" s="79"/>
      <c r="FO6" s="79"/>
      <c r="FP6" s="79"/>
      <c r="FQ6" s="79"/>
      <c r="FR6" s="79"/>
      <c r="FS6" s="79"/>
      <c r="FT6" s="79"/>
      <c r="FU6" s="79"/>
      <c r="FV6" s="79"/>
      <c r="FW6" s="79"/>
      <c r="FX6" s="79"/>
      <c r="FY6" s="79"/>
      <c r="FZ6" s="79"/>
      <c r="GA6" s="79"/>
      <c r="GB6" s="79"/>
      <c r="GC6" s="79"/>
      <c r="GD6" s="79"/>
      <c r="GE6" s="79"/>
      <c r="GF6" s="79"/>
      <c r="GG6" s="79"/>
      <c r="GH6" s="79"/>
      <c r="GI6" s="79"/>
      <c r="GJ6" s="79"/>
      <c r="GK6" s="79"/>
      <c r="GL6" s="79"/>
      <c r="GM6" s="79"/>
      <c r="GN6" s="79"/>
      <c r="GO6" s="79"/>
      <c r="GP6" s="79"/>
      <c r="GQ6" s="79"/>
      <c r="GR6" s="79"/>
      <c r="GS6" s="79"/>
      <c r="GT6" s="79"/>
      <c r="GU6" s="79"/>
      <c r="GV6" s="79"/>
      <c r="GW6" s="79"/>
      <c r="GX6" s="79"/>
      <c r="GY6" s="79"/>
      <c r="GZ6" s="79"/>
      <c r="HA6" s="79"/>
      <c r="HB6" s="79"/>
      <c r="HC6" s="79"/>
      <c r="HD6" s="79"/>
      <c r="HE6" s="79"/>
      <c r="HF6" s="79"/>
      <c r="HG6" s="79"/>
      <c r="HH6" s="79"/>
      <c r="HI6" s="79"/>
      <c r="HJ6" s="79"/>
      <c r="HK6" s="79"/>
      <c r="HL6" s="79"/>
      <c r="HM6" s="79"/>
      <c r="HN6" s="79"/>
      <c r="HO6" s="79"/>
      <c r="HP6" s="79"/>
      <c r="HQ6" s="79"/>
      <c r="HR6" s="79"/>
      <c r="HS6" s="79"/>
      <c r="HT6" s="79"/>
      <c r="HU6" s="79"/>
      <c r="HV6" s="79"/>
      <c r="HW6" s="79"/>
      <c r="HX6" s="79"/>
      <c r="HY6" s="79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  <c r="IU6" s="79"/>
      <c r="IV6" s="79"/>
    </row>
    <row r="7" spans="1:256">
      <c r="A7" s="57" t="s">
        <v>59</v>
      </c>
      <c r="B7" s="96">
        <v>1</v>
      </c>
      <c r="C7" s="86">
        <v>25000</v>
      </c>
      <c r="D7" s="86">
        <f>B7*C7</f>
        <v>25000</v>
      </c>
      <c r="E7" s="87" t="s">
        <v>465</v>
      </c>
      <c r="F7" s="88"/>
      <c r="G7" s="88"/>
      <c r="H7" s="88"/>
      <c r="I7" s="88"/>
      <c r="J7" s="88"/>
      <c r="K7" s="86"/>
      <c r="L7" s="86">
        <f>D7*12</f>
        <v>300000</v>
      </c>
      <c r="M7" s="86">
        <f>375*12</f>
        <v>4500</v>
      </c>
      <c r="N7" s="86">
        <f>250*12</f>
        <v>3000</v>
      </c>
      <c r="O7" s="86"/>
      <c r="P7" s="86"/>
      <c r="Q7" s="86"/>
      <c r="R7" s="86"/>
      <c r="S7" s="86">
        <f>B7*C7</f>
        <v>25000</v>
      </c>
      <c r="T7" s="86">
        <f>B7*C7</f>
        <v>25000</v>
      </c>
      <c r="U7" s="86">
        <v>200</v>
      </c>
    </row>
    <row r="8" spans="1:256">
      <c r="A8" s="57" t="s">
        <v>48</v>
      </c>
      <c r="B8" s="97">
        <v>1</v>
      </c>
      <c r="C8" s="86">
        <v>20000</v>
      </c>
      <c r="D8" s="86">
        <f t="shared" ref="D8:D19" si="0">B8*C8</f>
        <v>20000</v>
      </c>
      <c r="E8" s="87" t="s">
        <v>465</v>
      </c>
      <c r="F8" s="88"/>
      <c r="G8" s="88"/>
      <c r="H8" s="88"/>
      <c r="I8" s="88"/>
      <c r="J8" s="88"/>
      <c r="K8" s="86"/>
      <c r="L8" s="86">
        <f>D8*12</f>
        <v>240000</v>
      </c>
      <c r="M8" s="86">
        <f>375*12</f>
        <v>4500</v>
      </c>
      <c r="N8" s="86">
        <f>250*12</f>
        <v>3000</v>
      </c>
      <c r="O8" s="86"/>
      <c r="P8" s="86"/>
      <c r="Q8" s="86"/>
      <c r="R8" s="86"/>
      <c r="S8" s="86">
        <f>B8*C8</f>
        <v>20000</v>
      </c>
      <c r="T8" s="86">
        <f>B8*C8</f>
        <v>20000</v>
      </c>
      <c r="U8" s="86">
        <v>200</v>
      </c>
    </row>
    <row r="9" spans="1:256">
      <c r="A9" s="57" t="s">
        <v>48</v>
      </c>
      <c r="B9" s="97">
        <v>2</v>
      </c>
      <c r="C9" s="86">
        <v>16000</v>
      </c>
      <c r="D9" s="86">
        <f t="shared" si="0"/>
        <v>32000</v>
      </c>
      <c r="E9" s="87" t="s">
        <v>465</v>
      </c>
      <c r="F9" s="88"/>
      <c r="G9" s="88"/>
      <c r="H9" s="88"/>
      <c r="I9" s="88"/>
      <c r="J9" s="88"/>
      <c r="K9" s="86"/>
      <c r="L9" s="86">
        <f>D9*12</f>
        <v>384000</v>
      </c>
      <c r="M9" s="86">
        <f>(375*12)*B9</f>
        <v>9000</v>
      </c>
      <c r="N9" s="86">
        <f>(250*12)*B9</f>
        <v>6000</v>
      </c>
      <c r="O9" s="86"/>
      <c r="P9" s="86"/>
      <c r="Q9" s="86"/>
      <c r="R9" s="86"/>
      <c r="S9" s="86">
        <f>D9*B9</f>
        <v>64000</v>
      </c>
      <c r="T9" s="86">
        <f>B9*D9</f>
        <v>64000</v>
      </c>
      <c r="U9" s="86">
        <f>200*B9</f>
        <v>400</v>
      </c>
    </row>
    <row r="10" spans="1:256">
      <c r="A10" s="57" t="s">
        <v>48</v>
      </c>
      <c r="B10" s="97">
        <v>8</v>
      </c>
      <c r="C10" s="86">
        <v>13500</v>
      </c>
      <c r="D10" s="86">
        <f t="shared" si="0"/>
        <v>108000</v>
      </c>
      <c r="E10" s="87" t="s">
        <v>465</v>
      </c>
      <c r="F10" s="88"/>
      <c r="G10" s="88"/>
      <c r="H10" s="88"/>
      <c r="I10" s="88"/>
      <c r="J10" s="88"/>
      <c r="K10" s="86"/>
      <c r="L10" s="86">
        <f t="shared" ref="L10" si="1">D10*12</f>
        <v>1296000</v>
      </c>
      <c r="M10" s="86">
        <f>(375*12)*B10</f>
        <v>36000</v>
      </c>
      <c r="N10" s="86">
        <f>(250*12)*B10</f>
        <v>24000</v>
      </c>
      <c r="O10" s="86"/>
      <c r="P10" s="86"/>
      <c r="Q10" s="86"/>
      <c r="R10" s="86"/>
      <c r="S10" s="86">
        <f>C10*B10</f>
        <v>108000</v>
      </c>
      <c r="T10" s="86">
        <f>C10*B10</f>
        <v>108000</v>
      </c>
      <c r="U10" s="86">
        <f>200*B10</f>
        <v>1600</v>
      </c>
    </row>
    <row r="11" spans="1:256">
      <c r="A11" s="57" t="s">
        <v>474</v>
      </c>
      <c r="B11" s="97">
        <v>1</v>
      </c>
      <c r="C11" s="86">
        <v>10000</v>
      </c>
      <c r="D11" s="86">
        <f t="shared" si="0"/>
        <v>10000</v>
      </c>
      <c r="E11" s="87" t="s">
        <v>466</v>
      </c>
      <c r="F11" s="88"/>
      <c r="G11" s="88"/>
      <c r="H11" s="88"/>
      <c r="I11" s="88"/>
      <c r="J11" s="88"/>
      <c r="K11" s="86">
        <f>D11*B11</f>
        <v>10000</v>
      </c>
      <c r="L11" s="86"/>
      <c r="M11" s="86">
        <f>(375*12)*B11</f>
        <v>4500</v>
      </c>
      <c r="N11" s="86">
        <f t="shared" ref="N11:N19" si="2">(250*12)*B11</f>
        <v>3000</v>
      </c>
      <c r="O11" s="86"/>
      <c r="P11" s="86"/>
      <c r="Q11" s="86"/>
      <c r="R11" s="86"/>
      <c r="S11" s="86">
        <f t="shared" ref="S11:S19" si="3">C11*B11</f>
        <v>10000</v>
      </c>
      <c r="T11" s="86">
        <f t="shared" ref="T11:T19" si="4">C11*B11</f>
        <v>10000</v>
      </c>
      <c r="U11" s="86">
        <v>200</v>
      </c>
    </row>
    <row r="12" spans="1:256">
      <c r="A12" s="57" t="s">
        <v>92</v>
      </c>
      <c r="B12" s="97">
        <v>1</v>
      </c>
      <c r="C12" s="86">
        <v>7000</v>
      </c>
      <c r="D12" s="86">
        <f t="shared" si="0"/>
        <v>7000</v>
      </c>
      <c r="E12" s="87" t="s">
        <v>466</v>
      </c>
      <c r="F12" s="88"/>
      <c r="G12" s="88"/>
      <c r="H12" s="88"/>
      <c r="I12" s="88"/>
      <c r="J12" s="88"/>
      <c r="K12" s="86">
        <f t="shared" ref="K12:K19" si="5">D12*B12</f>
        <v>7000</v>
      </c>
      <c r="L12" s="86"/>
      <c r="M12" s="86">
        <f t="shared" ref="M12:M19" si="6">(375*12)*B12</f>
        <v>4500</v>
      </c>
      <c r="N12" s="86">
        <f t="shared" si="2"/>
        <v>3000</v>
      </c>
      <c r="O12" s="86"/>
      <c r="P12" s="86"/>
      <c r="Q12" s="86"/>
      <c r="R12" s="86"/>
      <c r="S12" s="86">
        <f t="shared" si="3"/>
        <v>7000</v>
      </c>
      <c r="T12" s="86">
        <f t="shared" si="4"/>
        <v>7000</v>
      </c>
      <c r="U12" s="86">
        <v>200</v>
      </c>
    </row>
    <row r="13" spans="1:256">
      <c r="A13" s="57" t="s">
        <v>52</v>
      </c>
      <c r="B13" s="97">
        <v>1</v>
      </c>
      <c r="C13" s="86">
        <v>7000</v>
      </c>
      <c r="D13" s="86">
        <f t="shared" si="0"/>
        <v>7000</v>
      </c>
      <c r="E13" s="87" t="s">
        <v>466</v>
      </c>
      <c r="F13" s="88"/>
      <c r="G13" s="88"/>
      <c r="H13" s="88"/>
      <c r="I13" s="88"/>
      <c r="J13" s="88"/>
      <c r="K13" s="86">
        <f t="shared" si="5"/>
        <v>7000</v>
      </c>
      <c r="L13" s="86"/>
      <c r="M13" s="86">
        <f t="shared" si="6"/>
        <v>4500</v>
      </c>
      <c r="N13" s="86">
        <f t="shared" si="2"/>
        <v>3000</v>
      </c>
      <c r="O13" s="86"/>
      <c r="P13" s="86"/>
      <c r="Q13" s="86"/>
      <c r="R13" s="86"/>
      <c r="S13" s="86">
        <f t="shared" si="3"/>
        <v>7000</v>
      </c>
      <c r="T13" s="86">
        <f t="shared" si="4"/>
        <v>7000</v>
      </c>
      <c r="U13" s="86">
        <v>200</v>
      </c>
    </row>
    <row r="14" spans="1:256">
      <c r="A14" s="57" t="s">
        <v>475</v>
      </c>
      <c r="B14" s="97">
        <v>1</v>
      </c>
      <c r="C14" s="86">
        <v>7000</v>
      </c>
      <c r="D14" s="86">
        <f t="shared" si="0"/>
        <v>7000</v>
      </c>
      <c r="E14" s="87" t="s">
        <v>466</v>
      </c>
      <c r="F14" s="88"/>
      <c r="G14" s="88"/>
      <c r="H14" s="88"/>
      <c r="I14" s="88"/>
      <c r="J14" s="88"/>
      <c r="K14" s="86">
        <f t="shared" si="5"/>
        <v>7000</v>
      </c>
      <c r="L14" s="86"/>
      <c r="M14" s="86">
        <f t="shared" si="6"/>
        <v>4500</v>
      </c>
      <c r="N14" s="86">
        <f t="shared" si="2"/>
        <v>3000</v>
      </c>
      <c r="O14" s="86"/>
      <c r="P14" s="86"/>
      <c r="Q14" s="86"/>
      <c r="R14" s="86"/>
      <c r="S14" s="86">
        <f t="shared" si="3"/>
        <v>7000</v>
      </c>
      <c r="T14" s="86">
        <f t="shared" si="4"/>
        <v>7000</v>
      </c>
      <c r="U14" s="86">
        <v>200</v>
      </c>
    </row>
    <row r="15" spans="1:256">
      <c r="A15" s="57" t="s">
        <v>55</v>
      </c>
      <c r="B15" s="97">
        <v>1</v>
      </c>
      <c r="C15" s="86">
        <v>7000</v>
      </c>
      <c r="D15" s="86">
        <f t="shared" si="0"/>
        <v>7000</v>
      </c>
      <c r="E15" s="87" t="s">
        <v>466</v>
      </c>
      <c r="F15" s="88"/>
      <c r="G15" s="88"/>
      <c r="H15" s="88"/>
      <c r="I15" s="88"/>
      <c r="J15" s="88"/>
      <c r="K15" s="86">
        <f t="shared" si="5"/>
        <v>7000</v>
      </c>
      <c r="L15" s="86"/>
      <c r="M15" s="86">
        <f t="shared" si="6"/>
        <v>4500</v>
      </c>
      <c r="N15" s="86">
        <f t="shared" si="2"/>
        <v>3000</v>
      </c>
      <c r="O15" s="86"/>
      <c r="P15" s="86"/>
      <c r="Q15" s="86"/>
      <c r="R15" s="86"/>
      <c r="S15" s="86">
        <f t="shared" si="3"/>
        <v>7000</v>
      </c>
      <c r="T15" s="86">
        <f t="shared" si="4"/>
        <v>7000</v>
      </c>
      <c r="U15" s="86">
        <v>200</v>
      </c>
    </row>
    <row r="16" spans="1:256">
      <c r="A16" s="57" t="s">
        <v>65</v>
      </c>
      <c r="B16" s="97">
        <v>1</v>
      </c>
      <c r="C16" s="86">
        <v>7000</v>
      </c>
      <c r="D16" s="86">
        <f t="shared" si="0"/>
        <v>7000</v>
      </c>
      <c r="E16" s="87" t="s">
        <v>466</v>
      </c>
      <c r="F16" s="88"/>
      <c r="G16" s="88"/>
      <c r="H16" s="88"/>
      <c r="I16" s="88"/>
      <c r="J16" s="88"/>
      <c r="K16" s="86">
        <f t="shared" si="5"/>
        <v>7000</v>
      </c>
      <c r="L16" s="86"/>
      <c r="M16" s="86">
        <f t="shared" si="6"/>
        <v>4500</v>
      </c>
      <c r="N16" s="86">
        <f t="shared" si="2"/>
        <v>3000</v>
      </c>
      <c r="O16" s="86"/>
      <c r="P16" s="86"/>
      <c r="Q16" s="86"/>
      <c r="R16" s="86"/>
      <c r="S16" s="86">
        <f t="shared" si="3"/>
        <v>7000</v>
      </c>
      <c r="T16" s="86">
        <f t="shared" si="4"/>
        <v>7000</v>
      </c>
      <c r="U16" s="86">
        <v>200</v>
      </c>
    </row>
    <row r="17" spans="1:256">
      <c r="A17" s="57" t="s">
        <v>476</v>
      </c>
      <c r="B17" s="97">
        <v>1</v>
      </c>
      <c r="C17" s="86">
        <v>7000</v>
      </c>
      <c r="D17" s="86">
        <f t="shared" si="0"/>
        <v>7000</v>
      </c>
      <c r="E17" s="87" t="s">
        <v>466</v>
      </c>
      <c r="F17" s="88"/>
      <c r="G17" s="88"/>
      <c r="H17" s="88"/>
      <c r="I17" s="88"/>
      <c r="J17" s="88"/>
      <c r="K17" s="86">
        <f t="shared" si="5"/>
        <v>7000</v>
      </c>
      <c r="L17" s="86"/>
      <c r="M17" s="86">
        <f t="shared" si="6"/>
        <v>4500</v>
      </c>
      <c r="N17" s="86">
        <f t="shared" si="2"/>
        <v>3000</v>
      </c>
      <c r="O17" s="86"/>
      <c r="P17" s="86"/>
      <c r="Q17" s="86"/>
      <c r="R17" s="86"/>
      <c r="S17" s="86">
        <f t="shared" si="3"/>
        <v>7000</v>
      </c>
      <c r="T17" s="86">
        <f t="shared" si="4"/>
        <v>7000</v>
      </c>
      <c r="U17" s="86">
        <v>200</v>
      </c>
    </row>
    <row r="18" spans="1:256">
      <c r="A18" s="57" t="s">
        <v>477</v>
      </c>
      <c r="B18" s="97">
        <v>1</v>
      </c>
      <c r="C18" s="86">
        <v>7000</v>
      </c>
      <c r="D18" s="86">
        <f t="shared" si="0"/>
        <v>7000</v>
      </c>
      <c r="E18" s="87" t="s">
        <v>466</v>
      </c>
      <c r="F18" s="88"/>
      <c r="G18" s="88"/>
      <c r="H18" s="88"/>
      <c r="I18" s="88"/>
      <c r="J18" s="88"/>
      <c r="K18" s="86">
        <f t="shared" si="5"/>
        <v>7000</v>
      </c>
      <c r="L18" s="86"/>
      <c r="M18" s="86">
        <f t="shared" si="6"/>
        <v>4500</v>
      </c>
      <c r="N18" s="86">
        <f t="shared" si="2"/>
        <v>3000</v>
      </c>
      <c r="O18" s="86"/>
      <c r="P18" s="86"/>
      <c r="Q18" s="86"/>
      <c r="R18" s="86"/>
      <c r="S18" s="86">
        <f t="shared" si="3"/>
        <v>7000</v>
      </c>
      <c r="T18" s="86">
        <f t="shared" si="4"/>
        <v>7000</v>
      </c>
      <c r="U18" s="86">
        <v>200</v>
      </c>
    </row>
    <row r="19" spans="1:256">
      <c r="A19" s="57" t="s">
        <v>478</v>
      </c>
      <c r="B19" s="97">
        <v>1</v>
      </c>
      <c r="C19" s="86">
        <v>7000</v>
      </c>
      <c r="D19" s="86">
        <f t="shared" si="0"/>
        <v>7000</v>
      </c>
      <c r="E19" s="87" t="s">
        <v>466</v>
      </c>
      <c r="F19" s="88"/>
      <c r="G19" s="88"/>
      <c r="H19" s="88"/>
      <c r="I19" s="88"/>
      <c r="J19" s="88"/>
      <c r="K19" s="86">
        <f t="shared" si="5"/>
        <v>7000</v>
      </c>
      <c r="L19" s="86"/>
      <c r="M19" s="86">
        <f t="shared" si="6"/>
        <v>4500</v>
      </c>
      <c r="N19" s="86">
        <f t="shared" si="2"/>
        <v>3000</v>
      </c>
      <c r="O19" s="86"/>
      <c r="P19" s="86"/>
      <c r="Q19" s="86"/>
      <c r="R19" s="86"/>
      <c r="S19" s="86">
        <f t="shared" si="3"/>
        <v>7000</v>
      </c>
      <c r="T19" s="86">
        <f t="shared" si="4"/>
        <v>7000</v>
      </c>
      <c r="U19" s="86">
        <v>200</v>
      </c>
    </row>
    <row r="20" spans="1:256">
      <c r="A20" s="57" t="s">
        <v>479</v>
      </c>
      <c r="B20" s="96">
        <v>1</v>
      </c>
      <c r="C20" s="89">
        <v>20000</v>
      </c>
      <c r="D20" s="86">
        <f t="shared" ref="D20:D64" si="7">B20*C20</f>
        <v>20000</v>
      </c>
      <c r="E20" s="85" t="s">
        <v>467</v>
      </c>
      <c r="F20" s="88"/>
      <c r="G20" s="90"/>
      <c r="H20" s="90"/>
      <c r="I20" s="90"/>
      <c r="J20" s="90"/>
      <c r="K20" s="88"/>
      <c r="L20" s="86" t="s">
        <v>24</v>
      </c>
      <c r="M20" s="90"/>
      <c r="N20" s="90"/>
      <c r="O20" s="91">
        <f>D20*12</f>
        <v>240000</v>
      </c>
      <c r="P20" s="88"/>
      <c r="Q20" s="88"/>
      <c r="R20" s="88"/>
      <c r="S20" s="88"/>
      <c r="T20" s="88"/>
      <c r="U20" s="8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  <c r="IV20" s="78"/>
    </row>
    <row r="21" spans="1:256">
      <c r="A21" s="57" t="s">
        <v>480</v>
      </c>
      <c r="B21" s="96">
        <v>1</v>
      </c>
      <c r="C21" s="89">
        <v>18000</v>
      </c>
      <c r="D21" s="86">
        <f t="shared" si="7"/>
        <v>18000</v>
      </c>
      <c r="E21" s="85" t="s">
        <v>467</v>
      </c>
      <c r="F21" s="88"/>
      <c r="G21" s="90"/>
      <c r="H21" s="90"/>
      <c r="I21" s="90"/>
      <c r="J21" s="90"/>
      <c r="K21" s="88"/>
      <c r="L21" s="86" t="s">
        <v>24</v>
      </c>
      <c r="M21" s="90"/>
      <c r="N21" s="90"/>
      <c r="O21" s="91">
        <f t="shared" ref="O21:O64" si="8">D21*12</f>
        <v>216000</v>
      </c>
      <c r="P21" s="88"/>
      <c r="Q21" s="88"/>
      <c r="R21" s="88"/>
      <c r="S21" s="88"/>
      <c r="T21" s="88"/>
      <c r="U21" s="8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78"/>
      <c r="FC21" s="78"/>
      <c r="FD21" s="78"/>
      <c r="FE21" s="78"/>
      <c r="FF21" s="78"/>
      <c r="FG21" s="78"/>
      <c r="FH21" s="78"/>
      <c r="FI21" s="78"/>
      <c r="FJ21" s="78"/>
      <c r="FK21" s="78"/>
      <c r="FL21" s="78"/>
      <c r="FM21" s="78"/>
      <c r="FN21" s="78"/>
      <c r="FO21" s="78"/>
      <c r="FP21" s="78"/>
      <c r="FQ21" s="78"/>
      <c r="FR21" s="78"/>
      <c r="FS21" s="78"/>
      <c r="FT21" s="78"/>
      <c r="FU21" s="78"/>
      <c r="FV21" s="78"/>
      <c r="FW21" s="78"/>
      <c r="FX21" s="78"/>
      <c r="FY21" s="78"/>
      <c r="FZ21" s="78"/>
      <c r="GA21" s="78"/>
      <c r="GB21" s="78"/>
      <c r="GC21" s="78"/>
      <c r="GD21" s="78"/>
      <c r="GE21" s="78"/>
      <c r="GF21" s="78"/>
      <c r="GG21" s="78"/>
      <c r="GH21" s="78"/>
      <c r="GI21" s="78"/>
      <c r="GJ21" s="78"/>
      <c r="GK21" s="78"/>
      <c r="GL21" s="78"/>
      <c r="GM21" s="78"/>
      <c r="GN21" s="78"/>
      <c r="GO21" s="78"/>
      <c r="GP21" s="78"/>
      <c r="GQ21" s="78"/>
      <c r="GR21" s="78"/>
      <c r="GS21" s="78"/>
      <c r="GT21" s="78"/>
      <c r="GU21" s="78"/>
      <c r="GV21" s="78"/>
      <c r="GW21" s="78"/>
      <c r="GX21" s="78"/>
      <c r="GY21" s="78"/>
      <c r="GZ21" s="78"/>
      <c r="HA21" s="78"/>
      <c r="HB21" s="78"/>
      <c r="HC21" s="78"/>
      <c r="HD21" s="78"/>
      <c r="HE21" s="78"/>
      <c r="HF21" s="78"/>
      <c r="HG21" s="78"/>
      <c r="HH21" s="78"/>
      <c r="HI21" s="78"/>
      <c r="HJ21" s="78"/>
      <c r="HK21" s="78"/>
      <c r="HL21" s="78"/>
      <c r="HM21" s="78"/>
      <c r="HN21" s="78"/>
      <c r="HO21" s="78"/>
      <c r="HP21" s="78"/>
      <c r="HQ21" s="78"/>
      <c r="HR21" s="78"/>
      <c r="HS21" s="78"/>
      <c r="HT21" s="78"/>
      <c r="HU21" s="78"/>
      <c r="HV21" s="78"/>
      <c r="HW21" s="78"/>
      <c r="HX21" s="78"/>
      <c r="HY21" s="78"/>
      <c r="HZ21" s="78"/>
      <c r="IA21" s="78"/>
      <c r="IB21" s="78"/>
      <c r="IC21" s="78"/>
      <c r="ID21" s="78"/>
      <c r="IE21" s="78"/>
      <c r="IF21" s="78"/>
      <c r="IG21" s="78"/>
      <c r="IH21" s="78"/>
      <c r="II21" s="78"/>
      <c r="IJ21" s="78"/>
      <c r="IK21" s="78"/>
      <c r="IL21" s="78"/>
      <c r="IM21" s="78"/>
      <c r="IN21" s="78"/>
      <c r="IO21" s="78"/>
      <c r="IP21" s="78"/>
      <c r="IQ21" s="78"/>
      <c r="IR21" s="78"/>
      <c r="IS21" s="78"/>
      <c r="IT21" s="78"/>
      <c r="IU21" s="78"/>
      <c r="IV21" s="78"/>
    </row>
    <row r="22" spans="1:256">
      <c r="A22" s="57" t="s">
        <v>481</v>
      </c>
      <c r="B22" s="96">
        <v>1</v>
      </c>
      <c r="C22" s="89">
        <v>18000</v>
      </c>
      <c r="D22" s="86">
        <f t="shared" si="7"/>
        <v>18000</v>
      </c>
      <c r="E22" s="85" t="s">
        <v>467</v>
      </c>
      <c r="F22" s="88"/>
      <c r="G22" s="90"/>
      <c r="H22" s="90"/>
      <c r="I22" s="90"/>
      <c r="J22" s="90"/>
      <c r="K22" s="88"/>
      <c r="L22" s="86" t="s">
        <v>24</v>
      </c>
      <c r="M22" s="90"/>
      <c r="N22" s="90"/>
      <c r="O22" s="91">
        <f t="shared" si="8"/>
        <v>216000</v>
      </c>
      <c r="P22" s="88"/>
      <c r="Q22" s="88"/>
      <c r="R22" s="88"/>
      <c r="S22" s="88"/>
      <c r="T22" s="88"/>
      <c r="U22" s="8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78"/>
      <c r="FC22" s="78"/>
      <c r="FD22" s="78"/>
      <c r="FE22" s="78"/>
      <c r="FF22" s="78"/>
      <c r="FG22" s="78"/>
      <c r="FH22" s="78"/>
      <c r="FI22" s="78"/>
      <c r="FJ22" s="78"/>
      <c r="FK22" s="78"/>
      <c r="FL22" s="78"/>
      <c r="FM22" s="78"/>
      <c r="FN22" s="78"/>
      <c r="FO22" s="78"/>
      <c r="FP22" s="78"/>
      <c r="FQ22" s="78"/>
      <c r="FR22" s="78"/>
      <c r="FS22" s="78"/>
      <c r="FT22" s="78"/>
      <c r="FU22" s="78"/>
      <c r="FV22" s="78"/>
      <c r="FW22" s="78"/>
      <c r="FX22" s="78"/>
      <c r="FY22" s="78"/>
      <c r="FZ22" s="78"/>
      <c r="GA22" s="78"/>
      <c r="GB22" s="78"/>
      <c r="GC22" s="78"/>
      <c r="GD22" s="78"/>
      <c r="GE22" s="78"/>
      <c r="GF22" s="78"/>
      <c r="GG22" s="78"/>
      <c r="GH22" s="78"/>
      <c r="GI22" s="78"/>
      <c r="GJ22" s="78"/>
      <c r="GK22" s="78"/>
      <c r="GL22" s="78"/>
      <c r="GM22" s="78"/>
      <c r="GN22" s="78"/>
      <c r="GO22" s="78"/>
      <c r="GP22" s="78"/>
      <c r="GQ22" s="78"/>
      <c r="GR22" s="78"/>
      <c r="GS22" s="78"/>
      <c r="GT22" s="78"/>
      <c r="GU22" s="78"/>
      <c r="GV22" s="78"/>
      <c r="GW22" s="78"/>
      <c r="GX22" s="78"/>
      <c r="GY22" s="78"/>
      <c r="GZ22" s="78"/>
      <c r="HA22" s="78"/>
      <c r="HB22" s="78"/>
      <c r="HC22" s="78"/>
      <c r="HD22" s="78"/>
      <c r="HE22" s="78"/>
      <c r="HF22" s="78"/>
      <c r="HG22" s="78"/>
      <c r="HH22" s="78"/>
      <c r="HI22" s="78"/>
      <c r="HJ22" s="78"/>
      <c r="HK22" s="78"/>
      <c r="HL22" s="78"/>
      <c r="HM22" s="78"/>
      <c r="HN22" s="78"/>
      <c r="HO22" s="78"/>
      <c r="HP22" s="78"/>
      <c r="HQ22" s="78"/>
      <c r="HR22" s="78"/>
      <c r="HS22" s="78"/>
      <c r="HT22" s="78"/>
      <c r="HU22" s="78"/>
      <c r="HV22" s="78"/>
      <c r="HW22" s="78"/>
      <c r="HX22" s="78"/>
      <c r="HY22" s="78"/>
      <c r="HZ22" s="78"/>
      <c r="IA22" s="78"/>
      <c r="IB22" s="78"/>
      <c r="IC22" s="78"/>
      <c r="ID22" s="78"/>
      <c r="IE22" s="78"/>
      <c r="IF22" s="78"/>
      <c r="IG22" s="78"/>
      <c r="IH22" s="78"/>
      <c r="II22" s="78"/>
      <c r="IJ22" s="78"/>
      <c r="IK22" s="78"/>
      <c r="IL22" s="78"/>
      <c r="IM22" s="78"/>
      <c r="IN22" s="78"/>
      <c r="IO22" s="78"/>
      <c r="IP22" s="78"/>
      <c r="IQ22" s="78"/>
      <c r="IR22" s="78"/>
      <c r="IS22" s="78"/>
      <c r="IT22" s="78"/>
      <c r="IU22" s="78"/>
      <c r="IV22" s="78"/>
    </row>
    <row r="23" spans="1:256">
      <c r="A23" s="57" t="s">
        <v>482</v>
      </c>
      <c r="B23" s="96">
        <v>1</v>
      </c>
      <c r="C23" s="89">
        <v>15000</v>
      </c>
      <c r="D23" s="86">
        <f t="shared" si="7"/>
        <v>15000</v>
      </c>
      <c r="E23" s="85" t="s">
        <v>467</v>
      </c>
      <c r="F23" s="88"/>
      <c r="G23" s="90"/>
      <c r="H23" s="90"/>
      <c r="I23" s="90"/>
      <c r="J23" s="90"/>
      <c r="K23" s="88"/>
      <c r="L23" s="86"/>
      <c r="M23" s="90"/>
      <c r="N23" s="90"/>
      <c r="O23" s="91">
        <f t="shared" si="8"/>
        <v>180000</v>
      </c>
      <c r="P23" s="88"/>
      <c r="Q23" s="88"/>
      <c r="R23" s="88"/>
      <c r="S23" s="88"/>
      <c r="T23" s="88"/>
      <c r="U23" s="8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78"/>
      <c r="FC23" s="78"/>
      <c r="FD23" s="78"/>
      <c r="FE23" s="78"/>
      <c r="FF23" s="78"/>
      <c r="FG23" s="78"/>
      <c r="FH23" s="78"/>
      <c r="FI23" s="78"/>
      <c r="FJ23" s="78"/>
      <c r="FK23" s="78"/>
      <c r="FL23" s="78"/>
      <c r="FM23" s="78"/>
      <c r="FN23" s="78"/>
      <c r="FO23" s="78"/>
      <c r="FP23" s="78"/>
      <c r="FQ23" s="78"/>
      <c r="FR23" s="78"/>
      <c r="FS23" s="78"/>
      <c r="FT23" s="78"/>
      <c r="FU23" s="78"/>
      <c r="FV23" s="78"/>
      <c r="FW23" s="78"/>
      <c r="FX23" s="78"/>
      <c r="FY23" s="78"/>
      <c r="FZ23" s="78"/>
      <c r="GA23" s="78"/>
      <c r="GB23" s="78"/>
      <c r="GC23" s="78"/>
      <c r="GD23" s="78"/>
      <c r="GE23" s="78"/>
      <c r="GF23" s="78"/>
      <c r="GG23" s="78"/>
      <c r="GH23" s="78"/>
      <c r="GI23" s="78"/>
      <c r="GJ23" s="78"/>
      <c r="GK23" s="78"/>
      <c r="GL23" s="78"/>
      <c r="GM23" s="78"/>
      <c r="GN23" s="78"/>
      <c r="GO23" s="78"/>
      <c r="GP23" s="78"/>
      <c r="GQ23" s="78"/>
      <c r="GR23" s="78"/>
      <c r="GS23" s="78"/>
      <c r="GT23" s="78"/>
      <c r="GU23" s="78"/>
      <c r="GV23" s="78"/>
      <c r="GW23" s="78"/>
      <c r="GX23" s="78"/>
      <c r="GY23" s="78"/>
      <c r="GZ23" s="78"/>
      <c r="HA23" s="78"/>
      <c r="HB23" s="78"/>
      <c r="HC23" s="78"/>
      <c r="HD23" s="78"/>
      <c r="HE23" s="78"/>
      <c r="HF23" s="78"/>
      <c r="HG23" s="78"/>
      <c r="HH23" s="78"/>
      <c r="HI23" s="78"/>
      <c r="HJ23" s="78"/>
      <c r="HK23" s="78"/>
      <c r="HL23" s="78"/>
      <c r="HM23" s="78"/>
      <c r="HN23" s="78"/>
      <c r="HO23" s="78"/>
      <c r="HP23" s="78"/>
      <c r="HQ23" s="78"/>
      <c r="HR23" s="78"/>
      <c r="HS23" s="78"/>
      <c r="HT23" s="78"/>
      <c r="HU23" s="78"/>
      <c r="HV23" s="78"/>
      <c r="HW23" s="78"/>
      <c r="HX23" s="78"/>
      <c r="HY23" s="78"/>
      <c r="HZ23" s="78"/>
      <c r="IA23" s="78"/>
      <c r="IB23" s="78"/>
      <c r="IC23" s="78"/>
      <c r="ID23" s="78"/>
      <c r="IE23" s="78"/>
      <c r="IF23" s="78"/>
      <c r="IG23" s="78"/>
      <c r="IH23" s="78"/>
      <c r="II23" s="78"/>
      <c r="IJ23" s="78"/>
      <c r="IK23" s="78"/>
      <c r="IL23" s="78"/>
      <c r="IM23" s="78"/>
      <c r="IN23" s="78"/>
      <c r="IO23" s="78"/>
      <c r="IP23" s="78"/>
      <c r="IQ23" s="78"/>
      <c r="IR23" s="78"/>
      <c r="IS23" s="78"/>
      <c r="IT23" s="78"/>
      <c r="IU23" s="78"/>
      <c r="IV23" s="78"/>
    </row>
    <row r="24" spans="1:256">
      <c r="A24" s="57" t="s">
        <v>483</v>
      </c>
      <c r="B24" s="96">
        <v>2</v>
      </c>
      <c r="C24" s="89">
        <v>10000</v>
      </c>
      <c r="D24" s="86">
        <f t="shared" si="7"/>
        <v>20000</v>
      </c>
      <c r="E24" s="85" t="s">
        <v>467</v>
      </c>
      <c r="F24" s="88"/>
      <c r="G24" s="90"/>
      <c r="H24" s="90"/>
      <c r="I24" s="90"/>
      <c r="J24" s="90"/>
      <c r="K24" s="88"/>
      <c r="L24" s="86"/>
      <c r="M24" s="90"/>
      <c r="N24" s="90"/>
      <c r="O24" s="91">
        <f t="shared" si="8"/>
        <v>240000</v>
      </c>
      <c r="P24" s="88"/>
      <c r="Q24" s="88"/>
      <c r="R24" s="88"/>
      <c r="S24" s="88"/>
      <c r="T24" s="88"/>
      <c r="U24" s="8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  <c r="IV24" s="78"/>
    </row>
    <row r="25" spans="1:256">
      <c r="A25" s="57" t="s">
        <v>484</v>
      </c>
      <c r="B25" s="96">
        <v>1</v>
      </c>
      <c r="C25" s="89">
        <v>10000</v>
      </c>
      <c r="D25" s="86">
        <f t="shared" si="7"/>
        <v>10000</v>
      </c>
      <c r="E25" s="85" t="s">
        <v>467</v>
      </c>
      <c r="F25" s="88"/>
      <c r="G25" s="90"/>
      <c r="H25" s="90"/>
      <c r="I25" s="90"/>
      <c r="J25" s="90"/>
      <c r="K25" s="88"/>
      <c r="L25" s="86"/>
      <c r="M25" s="90"/>
      <c r="N25" s="90"/>
      <c r="O25" s="91">
        <f t="shared" si="8"/>
        <v>120000</v>
      </c>
      <c r="P25" s="88"/>
      <c r="Q25" s="88"/>
      <c r="R25" s="88"/>
      <c r="S25" s="88"/>
      <c r="T25" s="88"/>
      <c r="U25" s="8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8"/>
      <c r="FG25" s="78"/>
      <c r="FH25" s="78"/>
      <c r="FI25" s="78"/>
      <c r="FJ25" s="78"/>
      <c r="FK25" s="78"/>
      <c r="FL25" s="78"/>
      <c r="FM25" s="78"/>
      <c r="FN25" s="78"/>
      <c r="FO25" s="78"/>
      <c r="FP25" s="78"/>
      <c r="FQ25" s="78"/>
      <c r="FR25" s="78"/>
      <c r="FS25" s="78"/>
      <c r="FT25" s="78"/>
      <c r="FU25" s="78"/>
      <c r="FV25" s="78"/>
      <c r="FW25" s="78"/>
      <c r="FX25" s="78"/>
      <c r="FY25" s="78"/>
      <c r="FZ25" s="78"/>
      <c r="GA25" s="78"/>
      <c r="GB25" s="78"/>
      <c r="GC25" s="78"/>
      <c r="GD25" s="78"/>
      <c r="GE25" s="78"/>
      <c r="GF25" s="78"/>
      <c r="GG25" s="78"/>
      <c r="GH25" s="78"/>
      <c r="GI25" s="78"/>
      <c r="GJ25" s="78"/>
      <c r="GK25" s="78"/>
      <c r="GL25" s="78"/>
      <c r="GM25" s="78"/>
      <c r="GN25" s="78"/>
      <c r="GO25" s="78"/>
      <c r="GP25" s="78"/>
      <c r="GQ25" s="78"/>
      <c r="GR25" s="78"/>
      <c r="GS25" s="78"/>
      <c r="GT25" s="78"/>
      <c r="GU25" s="78"/>
      <c r="GV25" s="78"/>
      <c r="GW25" s="78"/>
      <c r="GX25" s="78"/>
      <c r="GY25" s="78"/>
      <c r="GZ25" s="78"/>
      <c r="HA25" s="78"/>
      <c r="HB25" s="78"/>
      <c r="HC25" s="78"/>
      <c r="HD25" s="78"/>
      <c r="HE25" s="78"/>
      <c r="HF25" s="78"/>
      <c r="HG25" s="78"/>
      <c r="HH25" s="78"/>
      <c r="HI25" s="78"/>
      <c r="HJ25" s="78"/>
      <c r="HK25" s="78"/>
      <c r="HL25" s="78"/>
      <c r="HM25" s="78"/>
      <c r="HN25" s="78"/>
      <c r="HO25" s="78"/>
      <c r="HP25" s="78"/>
      <c r="HQ25" s="78"/>
      <c r="HR25" s="78"/>
      <c r="HS25" s="78"/>
      <c r="HT25" s="78"/>
      <c r="HU25" s="78"/>
      <c r="HV25" s="78"/>
      <c r="HW25" s="78"/>
      <c r="HX25" s="78"/>
      <c r="HY25" s="78"/>
      <c r="HZ25" s="78"/>
      <c r="IA25" s="78"/>
      <c r="IB25" s="78"/>
      <c r="IC25" s="78"/>
      <c r="ID25" s="78"/>
      <c r="IE25" s="78"/>
      <c r="IF25" s="78"/>
      <c r="IG25" s="78"/>
      <c r="IH25" s="78"/>
      <c r="II25" s="78"/>
      <c r="IJ25" s="78"/>
      <c r="IK25" s="78"/>
      <c r="IL25" s="78"/>
      <c r="IM25" s="78"/>
      <c r="IN25" s="78"/>
      <c r="IO25" s="78"/>
      <c r="IP25" s="78"/>
      <c r="IQ25" s="78"/>
      <c r="IR25" s="78"/>
      <c r="IS25" s="78"/>
      <c r="IT25" s="78"/>
      <c r="IU25" s="78"/>
      <c r="IV25" s="78"/>
    </row>
    <row r="26" spans="1:256">
      <c r="A26" s="57" t="s">
        <v>485</v>
      </c>
      <c r="B26" s="96">
        <v>2</v>
      </c>
      <c r="C26" s="89">
        <v>7000</v>
      </c>
      <c r="D26" s="86">
        <f t="shared" si="7"/>
        <v>14000</v>
      </c>
      <c r="E26" s="85" t="s">
        <v>467</v>
      </c>
      <c r="F26" s="88"/>
      <c r="G26" s="90"/>
      <c r="H26" s="90"/>
      <c r="I26" s="90"/>
      <c r="J26" s="90"/>
      <c r="K26" s="88"/>
      <c r="L26" s="86"/>
      <c r="M26" s="90"/>
      <c r="N26" s="90"/>
      <c r="O26" s="91">
        <f t="shared" si="8"/>
        <v>168000</v>
      </c>
      <c r="P26" s="88"/>
      <c r="Q26" s="88"/>
      <c r="R26" s="88"/>
      <c r="S26" s="88"/>
      <c r="T26" s="88"/>
      <c r="U26" s="8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78"/>
      <c r="FC26" s="78"/>
      <c r="FD26" s="78"/>
      <c r="FE26" s="78"/>
      <c r="FF26" s="78"/>
      <c r="FG26" s="78"/>
      <c r="FH26" s="78"/>
      <c r="FI26" s="78"/>
      <c r="FJ26" s="78"/>
      <c r="FK26" s="78"/>
      <c r="FL26" s="78"/>
      <c r="FM26" s="78"/>
      <c r="FN26" s="78"/>
      <c r="FO26" s="78"/>
      <c r="FP26" s="78"/>
      <c r="FQ26" s="78"/>
      <c r="FR26" s="78"/>
      <c r="FS26" s="78"/>
      <c r="FT26" s="78"/>
      <c r="FU26" s="78"/>
      <c r="FV26" s="78"/>
      <c r="FW26" s="78"/>
      <c r="FX26" s="78"/>
      <c r="FY26" s="78"/>
      <c r="FZ26" s="78"/>
      <c r="GA26" s="78"/>
      <c r="GB26" s="78"/>
      <c r="GC26" s="78"/>
      <c r="GD26" s="78"/>
      <c r="GE26" s="78"/>
      <c r="GF26" s="78"/>
      <c r="GG26" s="78"/>
      <c r="GH26" s="78"/>
      <c r="GI26" s="78"/>
      <c r="GJ26" s="78"/>
      <c r="GK26" s="78"/>
      <c r="GL26" s="78"/>
      <c r="GM26" s="78"/>
      <c r="GN26" s="78"/>
      <c r="GO26" s="78"/>
      <c r="GP26" s="78"/>
      <c r="GQ26" s="78"/>
      <c r="GR26" s="78"/>
      <c r="GS26" s="78"/>
      <c r="GT26" s="78"/>
      <c r="GU26" s="78"/>
      <c r="GV26" s="78"/>
      <c r="GW26" s="78"/>
      <c r="GX26" s="78"/>
      <c r="GY26" s="78"/>
      <c r="GZ26" s="78"/>
      <c r="HA26" s="78"/>
      <c r="HB26" s="78"/>
      <c r="HC26" s="78"/>
      <c r="HD26" s="78"/>
      <c r="HE26" s="78"/>
      <c r="HF26" s="78"/>
      <c r="HG26" s="78"/>
      <c r="HH26" s="78"/>
      <c r="HI26" s="78"/>
      <c r="HJ26" s="78"/>
      <c r="HK26" s="78"/>
      <c r="HL26" s="78"/>
      <c r="HM26" s="78"/>
      <c r="HN26" s="78"/>
      <c r="HO26" s="78"/>
      <c r="HP26" s="78"/>
      <c r="HQ26" s="78"/>
      <c r="HR26" s="78"/>
      <c r="HS26" s="78"/>
      <c r="HT26" s="78"/>
      <c r="HU26" s="78"/>
      <c r="HV26" s="78"/>
      <c r="HW26" s="78"/>
      <c r="HX26" s="78"/>
      <c r="HY26" s="78"/>
      <c r="HZ26" s="78"/>
      <c r="IA26" s="78"/>
      <c r="IB26" s="78"/>
      <c r="IC26" s="78"/>
      <c r="ID26" s="78"/>
      <c r="IE26" s="78"/>
      <c r="IF26" s="78"/>
      <c r="IG26" s="78"/>
      <c r="IH26" s="78"/>
      <c r="II26" s="78"/>
      <c r="IJ26" s="78"/>
      <c r="IK26" s="78"/>
      <c r="IL26" s="78"/>
      <c r="IM26" s="78"/>
      <c r="IN26" s="78"/>
      <c r="IO26" s="78"/>
      <c r="IP26" s="78"/>
      <c r="IQ26" s="78"/>
      <c r="IR26" s="78"/>
      <c r="IS26" s="78"/>
      <c r="IT26" s="78"/>
      <c r="IU26" s="78"/>
      <c r="IV26" s="78"/>
    </row>
    <row r="27" spans="1:256">
      <c r="A27" s="57" t="s">
        <v>486</v>
      </c>
      <c r="B27" s="96">
        <v>1</v>
      </c>
      <c r="C27" s="89">
        <v>15000</v>
      </c>
      <c r="D27" s="86">
        <f t="shared" si="7"/>
        <v>15000</v>
      </c>
      <c r="E27" s="85" t="s">
        <v>467</v>
      </c>
      <c r="F27" s="88"/>
      <c r="G27" s="90"/>
      <c r="H27" s="90"/>
      <c r="I27" s="90"/>
      <c r="J27" s="90"/>
      <c r="K27" s="88"/>
      <c r="L27" s="86"/>
      <c r="M27" s="90"/>
      <c r="N27" s="90"/>
      <c r="O27" s="91">
        <f t="shared" si="8"/>
        <v>180000</v>
      </c>
      <c r="P27" s="88"/>
      <c r="Q27" s="88"/>
      <c r="R27" s="88"/>
      <c r="S27" s="88"/>
      <c r="T27" s="88"/>
      <c r="U27" s="8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78"/>
      <c r="FC27" s="78"/>
      <c r="FD27" s="78"/>
      <c r="FE27" s="78"/>
      <c r="FF27" s="78"/>
      <c r="FG27" s="78"/>
      <c r="FH27" s="78"/>
      <c r="FI27" s="78"/>
      <c r="FJ27" s="78"/>
      <c r="FK27" s="78"/>
      <c r="FL27" s="78"/>
      <c r="FM27" s="78"/>
      <c r="FN27" s="78"/>
      <c r="FO27" s="78"/>
      <c r="FP27" s="78"/>
      <c r="FQ27" s="78"/>
      <c r="FR27" s="78"/>
      <c r="FS27" s="78"/>
      <c r="FT27" s="78"/>
      <c r="FU27" s="78"/>
      <c r="FV27" s="78"/>
      <c r="FW27" s="78"/>
      <c r="FX27" s="78"/>
      <c r="FY27" s="78"/>
      <c r="FZ27" s="78"/>
      <c r="GA27" s="78"/>
      <c r="GB27" s="78"/>
      <c r="GC27" s="78"/>
      <c r="GD27" s="78"/>
      <c r="GE27" s="78"/>
      <c r="GF27" s="78"/>
      <c r="GG27" s="78"/>
      <c r="GH27" s="78"/>
      <c r="GI27" s="78"/>
      <c r="GJ27" s="78"/>
      <c r="GK27" s="78"/>
      <c r="GL27" s="78"/>
      <c r="GM27" s="78"/>
      <c r="GN27" s="78"/>
      <c r="GO27" s="78"/>
      <c r="GP27" s="78"/>
      <c r="GQ27" s="78"/>
      <c r="GR27" s="78"/>
      <c r="GS27" s="78"/>
      <c r="GT27" s="78"/>
      <c r="GU27" s="78"/>
      <c r="GV27" s="78"/>
      <c r="GW27" s="78"/>
      <c r="GX27" s="78"/>
      <c r="GY27" s="78"/>
      <c r="GZ27" s="78"/>
      <c r="HA27" s="78"/>
      <c r="HB27" s="78"/>
      <c r="HC27" s="78"/>
      <c r="HD27" s="78"/>
      <c r="HE27" s="78"/>
      <c r="HF27" s="78"/>
      <c r="HG27" s="78"/>
      <c r="HH27" s="78"/>
      <c r="HI27" s="78"/>
      <c r="HJ27" s="78"/>
      <c r="HK27" s="78"/>
      <c r="HL27" s="78"/>
      <c r="HM27" s="78"/>
      <c r="HN27" s="78"/>
      <c r="HO27" s="78"/>
      <c r="HP27" s="78"/>
      <c r="HQ27" s="78"/>
      <c r="HR27" s="78"/>
      <c r="HS27" s="78"/>
      <c r="HT27" s="78"/>
      <c r="HU27" s="78"/>
      <c r="HV27" s="78"/>
      <c r="HW27" s="78"/>
      <c r="HX27" s="78"/>
      <c r="HY27" s="78"/>
      <c r="HZ27" s="78"/>
      <c r="IA27" s="78"/>
      <c r="IB27" s="78"/>
      <c r="IC27" s="78"/>
      <c r="ID27" s="78"/>
      <c r="IE27" s="78"/>
      <c r="IF27" s="78"/>
      <c r="IG27" s="78"/>
      <c r="IH27" s="78"/>
      <c r="II27" s="78"/>
      <c r="IJ27" s="78"/>
      <c r="IK27" s="78"/>
      <c r="IL27" s="78"/>
      <c r="IM27" s="78"/>
      <c r="IN27" s="78"/>
      <c r="IO27" s="78"/>
      <c r="IP27" s="78"/>
      <c r="IQ27" s="78"/>
      <c r="IR27" s="78"/>
      <c r="IS27" s="78"/>
      <c r="IT27" s="78"/>
      <c r="IU27" s="78"/>
      <c r="IV27" s="78"/>
    </row>
    <row r="28" spans="1:256">
      <c r="A28" s="57" t="s">
        <v>487</v>
      </c>
      <c r="B28" s="96">
        <v>2</v>
      </c>
      <c r="C28" s="89">
        <v>7000</v>
      </c>
      <c r="D28" s="86">
        <f t="shared" si="7"/>
        <v>14000</v>
      </c>
      <c r="E28" s="85" t="s">
        <v>467</v>
      </c>
      <c r="F28" s="88"/>
      <c r="G28" s="90"/>
      <c r="H28" s="90"/>
      <c r="I28" s="90"/>
      <c r="J28" s="90"/>
      <c r="K28" s="88"/>
      <c r="L28" s="86"/>
      <c r="M28" s="90"/>
      <c r="N28" s="90"/>
      <c r="O28" s="91">
        <f t="shared" si="8"/>
        <v>168000</v>
      </c>
      <c r="P28" s="88"/>
      <c r="Q28" s="88"/>
      <c r="R28" s="88"/>
      <c r="S28" s="88"/>
      <c r="T28" s="88"/>
      <c r="U28" s="8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  <c r="IQ28" s="78"/>
      <c r="IR28" s="78"/>
      <c r="IS28" s="78"/>
      <c r="IT28" s="78"/>
      <c r="IU28" s="78"/>
      <c r="IV28" s="78"/>
    </row>
    <row r="29" spans="1:256">
      <c r="A29" s="57" t="s">
        <v>488</v>
      </c>
      <c r="B29" s="96">
        <v>2</v>
      </c>
      <c r="C29" s="89">
        <v>6000</v>
      </c>
      <c r="D29" s="86">
        <f t="shared" si="7"/>
        <v>12000</v>
      </c>
      <c r="E29" s="85" t="s">
        <v>467</v>
      </c>
      <c r="F29" s="88"/>
      <c r="G29" s="90"/>
      <c r="H29" s="90"/>
      <c r="I29" s="90"/>
      <c r="J29" s="90"/>
      <c r="K29" s="88"/>
      <c r="L29" s="86"/>
      <c r="M29" s="90"/>
      <c r="N29" s="90"/>
      <c r="O29" s="91">
        <f t="shared" si="8"/>
        <v>144000</v>
      </c>
      <c r="P29" s="88"/>
      <c r="Q29" s="88"/>
      <c r="R29" s="88"/>
      <c r="S29" s="88"/>
      <c r="T29" s="88"/>
      <c r="U29" s="8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  <c r="IV29" s="78"/>
    </row>
    <row r="30" spans="1:256">
      <c r="A30" s="57" t="s">
        <v>489</v>
      </c>
      <c r="B30" s="96">
        <v>1</v>
      </c>
      <c r="C30" s="89">
        <v>5000</v>
      </c>
      <c r="D30" s="86">
        <f t="shared" si="7"/>
        <v>5000</v>
      </c>
      <c r="E30" s="85" t="s">
        <v>467</v>
      </c>
      <c r="F30" s="88"/>
      <c r="G30" s="90"/>
      <c r="H30" s="90"/>
      <c r="I30" s="90"/>
      <c r="J30" s="90"/>
      <c r="K30" s="88"/>
      <c r="L30" s="86"/>
      <c r="M30" s="90"/>
      <c r="N30" s="90"/>
      <c r="O30" s="91">
        <f t="shared" si="8"/>
        <v>60000</v>
      </c>
      <c r="P30" s="88"/>
      <c r="Q30" s="88"/>
      <c r="R30" s="88"/>
      <c r="S30" s="88"/>
      <c r="T30" s="88"/>
      <c r="U30" s="8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  <c r="IV30" s="78"/>
    </row>
    <row r="31" spans="1:256">
      <c r="A31" s="57" t="s">
        <v>490</v>
      </c>
      <c r="B31" s="96">
        <v>1</v>
      </c>
      <c r="C31" s="89">
        <v>8000</v>
      </c>
      <c r="D31" s="86">
        <f t="shared" si="7"/>
        <v>8000</v>
      </c>
      <c r="E31" s="85" t="s">
        <v>467</v>
      </c>
      <c r="F31" s="88"/>
      <c r="G31" s="90"/>
      <c r="H31" s="90"/>
      <c r="I31" s="90"/>
      <c r="J31" s="90"/>
      <c r="K31" s="88"/>
      <c r="L31" s="86"/>
      <c r="M31" s="90"/>
      <c r="N31" s="90"/>
      <c r="O31" s="91">
        <f t="shared" si="8"/>
        <v>96000</v>
      </c>
      <c r="P31" s="88"/>
      <c r="Q31" s="88"/>
      <c r="R31" s="88"/>
      <c r="S31" s="88"/>
      <c r="T31" s="88"/>
      <c r="U31" s="8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  <c r="IV31" s="78"/>
    </row>
    <row r="32" spans="1:256">
      <c r="A32" s="57" t="s">
        <v>491</v>
      </c>
      <c r="B32" s="96">
        <v>1</v>
      </c>
      <c r="C32" s="89">
        <v>10000</v>
      </c>
      <c r="D32" s="86">
        <f t="shared" si="7"/>
        <v>10000</v>
      </c>
      <c r="E32" s="85" t="s">
        <v>467</v>
      </c>
      <c r="F32" s="88"/>
      <c r="G32" s="90"/>
      <c r="H32" s="90"/>
      <c r="I32" s="90"/>
      <c r="J32" s="90"/>
      <c r="K32" s="88"/>
      <c r="L32" s="86"/>
      <c r="M32" s="90"/>
      <c r="N32" s="90"/>
      <c r="O32" s="91">
        <f t="shared" si="8"/>
        <v>120000</v>
      </c>
      <c r="P32" s="88"/>
      <c r="Q32" s="88"/>
      <c r="R32" s="88"/>
      <c r="S32" s="88"/>
      <c r="T32" s="88"/>
      <c r="U32" s="8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  <c r="IV32" s="78"/>
    </row>
    <row r="33" spans="1:256">
      <c r="A33" s="57" t="s">
        <v>492</v>
      </c>
      <c r="B33" s="96">
        <v>1</v>
      </c>
      <c r="C33" s="89">
        <v>10000</v>
      </c>
      <c r="D33" s="86">
        <f t="shared" si="7"/>
        <v>10000</v>
      </c>
      <c r="E33" s="85" t="s">
        <v>467</v>
      </c>
      <c r="F33" s="88"/>
      <c r="G33" s="90"/>
      <c r="H33" s="90"/>
      <c r="I33" s="90"/>
      <c r="J33" s="90"/>
      <c r="K33" s="88"/>
      <c r="L33" s="86"/>
      <c r="M33" s="90"/>
      <c r="N33" s="90"/>
      <c r="O33" s="91">
        <f t="shared" si="8"/>
        <v>120000</v>
      </c>
      <c r="P33" s="88"/>
      <c r="Q33" s="88"/>
      <c r="R33" s="88"/>
      <c r="S33" s="88"/>
      <c r="T33" s="88"/>
      <c r="U33" s="8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  <c r="IP33" s="78"/>
      <c r="IQ33" s="78"/>
      <c r="IR33" s="78"/>
      <c r="IS33" s="78"/>
      <c r="IT33" s="78"/>
      <c r="IU33" s="78"/>
      <c r="IV33" s="78"/>
    </row>
    <row r="34" spans="1:256">
      <c r="A34" s="57" t="s">
        <v>493</v>
      </c>
      <c r="B34" s="96">
        <v>1</v>
      </c>
      <c r="C34" s="89">
        <v>7000</v>
      </c>
      <c r="D34" s="86">
        <f t="shared" si="7"/>
        <v>7000</v>
      </c>
      <c r="E34" s="85" t="s">
        <v>467</v>
      </c>
      <c r="F34" s="88"/>
      <c r="G34" s="90"/>
      <c r="H34" s="90"/>
      <c r="I34" s="90"/>
      <c r="J34" s="90"/>
      <c r="K34" s="88"/>
      <c r="L34" s="86"/>
      <c r="M34" s="90"/>
      <c r="N34" s="90"/>
      <c r="O34" s="91">
        <f t="shared" si="8"/>
        <v>84000</v>
      </c>
      <c r="P34" s="88"/>
      <c r="Q34" s="88"/>
      <c r="R34" s="88"/>
      <c r="S34" s="88"/>
      <c r="T34" s="88"/>
      <c r="U34" s="8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8"/>
      <c r="BM34" s="78"/>
      <c r="BN34" s="78"/>
      <c r="BO34" s="78"/>
      <c r="BP34" s="78"/>
      <c r="BQ34" s="78"/>
      <c r="BR34" s="78"/>
      <c r="BS34" s="78"/>
      <c r="BT34" s="78"/>
      <c r="BU34" s="78"/>
      <c r="BV34" s="78"/>
      <c r="BW34" s="78"/>
      <c r="BX34" s="78"/>
      <c r="BY34" s="78"/>
      <c r="BZ34" s="78"/>
      <c r="CA34" s="78"/>
      <c r="CB34" s="78"/>
      <c r="CC34" s="78"/>
      <c r="CD34" s="78"/>
      <c r="CE34" s="78"/>
      <c r="CF34" s="78"/>
      <c r="CG34" s="78"/>
      <c r="CH34" s="78"/>
      <c r="CI34" s="78"/>
      <c r="CJ34" s="78"/>
      <c r="CK34" s="78"/>
      <c r="CL34" s="78"/>
      <c r="CM34" s="78"/>
      <c r="CN34" s="78"/>
      <c r="CO34" s="78"/>
      <c r="CP34" s="78"/>
      <c r="CQ34" s="78"/>
      <c r="CR34" s="78"/>
      <c r="CS34" s="78"/>
      <c r="CT34" s="78"/>
      <c r="CU34" s="78"/>
      <c r="CV34" s="78"/>
      <c r="CW34" s="78"/>
      <c r="CX34" s="78"/>
      <c r="CY34" s="78"/>
      <c r="CZ34" s="78"/>
      <c r="DA34" s="78"/>
      <c r="DB34" s="78"/>
      <c r="DC34" s="78"/>
      <c r="DD34" s="78"/>
      <c r="DE34" s="78"/>
      <c r="DF34" s="78"/>
      <c r="DG34" s="78"/>
      <c r="DH34" s="78"/>
      <c r="DI34" s="78"/>
      <c r="DJ34" s="78"/>
      <c r="DK34" s="78"/>
      <c r="DL34" s="78"/>
      <c r="DM34" s="78"/>
      <c r="DN34" s="78"/>
      <c r="DO34" s="78"/>
      <c r="DP34" s="78"/>
      <c r="DQ34" s="78"/>
      <c r="DR34" s="78"/>
      <c r="DS34" s="78"/>
      <c r="DT34" s="78"/>
      <c r="DU34" s="78"/>
      <c r="DV34" s="78"/>
      <c r="DW34" s="78"/>
      <c r="DX34" s="78"/>
      <c r="DY34" s="78"/>
      <c r="DZ34" s="78"/>
      <c r="EA34" s="78"/>
      <c r="EB34" s="78"/>
      <c r="EC34" s="78"/>
      <c r="ED34" s="78"/>
      <c r="EE34" s="78"/>
      <c r="EF34" s="78"/>
      <c r="EG34" s="78"/>
      <c r="EH34" s="78"/>
      <c r="EI34" s="78"/>
      <c r="EJ34" s="78"/>
      <c r="EK34" s="78"/>
      <c r="EL34" s="78"/>
      <c r="EM34" s="78"/>
      <c r="EN34" s="78"/>
      <c r="EO34" s="78"/>
      <c r="EP34" s="78"/>
      <c r="EQ34" s="78"/>
      <c r="ER34" s="78"/>
      <c r="ES34" s="78"/>
      <c r="ET34" s="78"/>
      <c r="EU34" s="78"/>
      <c r="EV34" s="78"/>
      <c r="EW34" s="78"/>
      <c r="EX34" s="78"/>
      <c r="EY34" s="78"/>
      <c r="EZ34" s="78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  <c r="IQ34" s="78"/>
      <c r="IR34" s="78"/>
      <c r="IS34" s="78"/>
      <c r="IT34" s="78"/>
      <c r="IU34" s="78"/>
      <c r="IV34" s="78"/>
    </row>
    <row r="35" spans="1:256">
      <c r="A35" s="57" t="s">
        <v>494</v>
      </c>
      <c r="B35" s="96">
        <v>1</v>
      </c>
      <c r="C35" s="89">
        <v>7000</v>
      </c>
      <c r="D35" s="86">
        <f t="shared" si="7"/>
        <v>7000</v>
      </c>
      <c r="E35" s="85" t="s">
        <v>467</v>
      </c>
      <c r="F35" s="88"/>
      <c r="G35" s="90"/>
      <c r="H35" s="90"/>
      <c r="I35" s="90"/>
      <c r="J35" s="90"/>
      <c r="K35" s="88"/>
      <c r="L35" s="86"/>
      <c r="M35" s="90"/>
      <c r="N35" s="90"/>
      <c r="O35" s="91">
        <f t="shared" si="8"/>
        <v>84000</v>
      </c>
      <c r="P35" s="88"/>
      <c r="Q35" s="88"/>
      <c r="R35" s="88"/>
      <c r="S35" s="88"/>
      <c r="T35" s="88"/>
      <c r="U35" s="8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R35" s="78"/>
      <c r="BS35" s="78"/>
      <c r="BT35" s="78"/>
      <c r="BU35" s="78"/>
      <c r="BV35" s="78"/>
      <c r="BW35" s="78"/>
      <c r="BX35" s="78"/>
      <c r="BY35" s="78"/>
      <c r="BZ35" s="78"/>
      <c r="CA35" s="78"/>
      <c r="CB35" s="78"/>
      <c r="CC35" s="78"/>
      <c r="CD35" s="78"/>
      <c r="CE35" s="78"/>
      <c r="CF35" s="78"/>
      <c r="CG35" s="78"/>
      <c r="CH35" s="78"/>
      <c r="CI35" s="78"/>
      <c r="CJ35" s="78"/>
      <c r="CK35" s="78"/>
      <c r="CL35" s="78"/>
      <c r="CM35" s="78"/>
      <c r="CN35" s="78"/>
      <c r="CO35" s="78"/>
      <c r="CP35" s="78"/>
      <c r="CQ35" s="78"/>
      <c r="CR35" s="78"/>
      <c r="CS35" s="78"/>
      <c r="CT35" s="78"/>
      <c r="CU35" s="78"/>
      <c r="CV35" s="78"/>
      <c r="CW35" s="78"/>
      <c r="CX35" s="78"/>
      <c r="CY35" s="78"/>
      <c r="CZ35" s="78"/>
      <c r="DA35" s="78"/>
      <c r="DB35" s="78"/>
      <c r="DC35" s="78"/>
      <c r="DD35" s="78"/>
      <c r="DE35" s="78"/>
      <c r="DF35" s="78"/>
      <c r="DG35" s="78"/>
      <c r="DH35" s="78"/>
      <c r="DI35" s="78"/>
      <c r="DJ35" s="78"/>
      <c r="DK35" s="78"/>
      <c r="DL35" s="78"/>
      <c r="DM35" s="78"/>
      <c r="DN35" s="78"/>
      <c r="DO35" s="78"/>
      <c r="DP35" s="78"/>
      <c r="DQ35" s="78"/>
      <c r="DR35" s="78"/>
      <c r="DS35" s="78"/>
      <c r="DT35" s="78"/>
      <c r="DU35" s="78"/>
      <c r="DV35" s="78"/>
      <c r="DW35" s="78"/>
      <c r="DX35" s="78"/>
      <c r="DY35" s="78"/>
      <c r="DZ35" s="78"/>
      <c r="EA35" s="78"/>
      <c r="EB35" s="78"/>
      <c r="EC35" s="78"/>
      <c r="ED35" s="78"/>
      <c r="EE35" s="78"/>
      <c r="EF35" s="78"/>
      <c r="EG35" s="78"/>
      <c r="EH35" s="78"/>
      <c r="EI35" s="78"/>
      <c r="EJ35" s="78"/>
      <c r="EK35" s="78"/>
      <c r="EL35" s="78"/>
      <c r="EM35" s="78"/>
      <c r="EN35" s="78"/>
      <c r="EO35" s="78"/>
      <c r="EP35" s="78"/>
      <c r="EQ35" s="78"/>
      <c r="ER35" s="78"/>
      <c r="ES35" s="78"/>
      <c r="ET35" s="78"/>
      <c r="EU35" s="78"/>
      <c r="EV35" s="78"/>
      <c r="EW35" s="78"/>
      <c r="EX35" s="78"/>
      <c r="EY35" s="78"/>
      <c r="EZ35" s="78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  <c r="IQ35" s="78"/>
      <c r="IR35" s="78"/>
      <c r="IS35" s="78"/>
      <c r="IT35" s="78"/>
      <c r="IU35" s="78"/>
      <c r="IV35" s="78"/>
    </row>
    <row r="36" spans="1:256">
      <c r="A36" s="57" t="s">
        <v>495</v>
      </c>
      <c r="B36" s="96">
        <v>1</v>
      </c>
      <c r="C36" s="89">
        <v>6000</v>
      </c>
      <c r="D36" s="86">
        <f t="shared" si="7"/>
        <v>6000</v>
      </c>
      <c r="E36" s="85" t="s">
        <v>467</v>
      </c>
      <c r="F36" s="88"/>
      <c r="G36" s="90"/>
      <c r="H36" s="90"/>
      <c r="I36" s="90"/>
      <c r="J36" s="90"/>
      <c r="K36" s="88"/>
      <c r="L36" s="86"/>
      <c r="M36" s="90"/>
      <c r="N36" s="90"/>
      <c r="O36" s="91">
        <f t="shared" si="8"/>
        <v>72000</v>
      </c>
      <c r="P36" s="88"/>
      <c r="Q36" s="88"/>
      <c r="R36" s="88"/>
      <c r="S36" s="88"/>
      <c r="T36" s="88"/>
      <c r="U36" s="8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R36" s="78"/>
      <c r="BS36" s="78"/>
      <c r="BT36" s="78"/>
      <c r="BU36" s="78"/>
      <c r="BV36" s="78"/>
      <c r="BW36" s="78"/>
      <c r="BX36" s="78"/>
      <c r="BY36" s="78"/>
      <c r="BZ36" s="78"/>
      <c r="CA36" s="78"/>
      <c r="CB36" s="78"/>
      <c r="CC36" s="78"/>
      <c r="CD36" s="78"/>
      <c r="CE36" s="78"/>
      <c r="CF36" s="78"/>
      <c r="CG36" s="78"/>
      <c r="CH36" s="78"/>
      <c r="CI36" s="78"/>
      <c r="CJ36" s="78"/>
      <c r="CK36" s="78"/>
      <c r="CL36" s="78"/>
      <c r="CM36" s="78"/>
      <c r="CN36" s="78"/>
      <c r="CO36" s="78"/>
      <c r="CP36" s="78"/>
      <c r="CQ36" s="78"/>
      <c r="CR36" s="78"/>
      <c r="CS36" s="78"/>
      <c r="CT36" s="78"/>
      <c r="CU36" s="78"/>
      <c r="CV36" s="78"/>
      <c r="CW36" s="78"/>
      <c r="CX36" s="78"/>
      <c r="CY36" s="78"/>
      <c r="CZ36" s="78"/>
      <c r="DA36" s="78"/>
      <c r="DB36" s="78"/>
      <c r="DC36" s="78"/>
      <c r="DD36" s="78"/>
      <c r="DE36" s="78"/>
      <c r="DF36" s="78"/>
      <c r="DG36" s="78"/>
      <c r="DH36" s="78"/>
      <c r="DI36" s="78"/>
      <c r="DJ36" s="78"/>
      <c r="DK36" s="78"/>
      <c r="DL36" s="78"/>
      <c r="DM36" s="78"/>
      <c r="DN36" s="78"/>
      <c r="DO36" s="78"/>
      <c r="DP36" s="78"/>
      <c r="DQ36" s="78"/>
      <c r="DR36" s="78"/>
      <c r="DS36" s="78"/>
      <c r="DT36" s="78"/>
      <c r="DU36" s="78"/>
      <c r="DV36" s="78"/>
      <c r="DW36" s="78"/>
      <c r="DX36" s="78"/>
      <c r="DY36" s="78"/>
      <c r="DZ36" s="78"/>
      <c r="EA36" s="78"/>
      <c r="EB36" s="78"/>
      <c r="EC36" s="78"/>
      <c r="ED36" s="78"/>
      <c r="EE36" s="78"/>
      <c r="EF36" s="78"/>
      <c r="EG36" s="78"/>
      <c r="EH36" s="78"/>
      <c r="EI36" s="78"/>
      <c r="EJ36" s="78"/>
      <c r="EK36" s="78"/>
      <c r="EL36" s="78"/>
      <c r="EM36" s="78"/>
      <c r="EN36" s="78"/>
      <c r="EO36" s="78"/>
      <c r="EP36" s="78"/>
      <c r="EQ36" s="78"/>
      <c r="ER36" s="78"/>
      <c r="ES36" s="78"/>
      <c r="ET36" s="78"/>
      <c r="EU36" s="78"/>
      <c r="EV36" s="78"/>
      <c r="EW36" s="78"/>
      <c r="EX36" s="78"/>
      <c r="EY36" s="78"/>
      <c r="EZ36" s="78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  <c r="IQ36" s="78"/>
      <c r="IR36" s="78"/>
      <c r="IS36" s="78"/>
      <c r="IT36" s="78"/>
      <c r="IU36" s="78"/>
      <c r="IV36" s="78"/>
    </row>
    <row r="37" spans="1:256">
      <c r="A37" s="57" t="s">
        <v>496</v>
      </c>
      <c r="B37" s="96">
        <v>1</v>
      </c>
      <c r="C37" s="89">
        <v>12000</v>
      </c>
      <c r="D37" s="86">
        <f t="shared" si="7"/>
        <v>12000</v>
      </c>
      <c r="E37" s="85" t="s">
        <v>467</v>
      </c>
      <c r="F37" s="88"/>
      <c r="G37" s="90"/>
      <c r="H37" s="90"/>
      <c r="I37" s="90"/>
      <c r="J37" s="90"/>
      <c r="K37" s="88"/>
      <c r="L37" s="86"/>
      <c r="M37" s="90"/>
      <c r="N37" s="90"/>
      <c r="O37" s="91">
        <f t="shared" si="8"/>
        <v>144000</v>
      </c>
      <c r="P37" s="88"/>
      <c r="Q37" s="88"/>
      <c r="R37" s="88"/>
      <c r="S37" s="88"/>
      <c r="T37" s="88"/>
      <c r="U37" s="8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8"/>
      <c r="CC37" s="78"/>
      <c r="CD37" s="78"/>
      <c r="CE37" s="78"/>
      <c r="CF37" s="78"/>
      <c r="CG37" s="78"/>
      <c r="CH37" s="78"/>
      <c r="CI37" s="78"/>
      <c r="CJ37" s="78"/>
      <c r="CK37" s="78"/>
      <c r="CL37" s="78"/>
      <c r="CM37" s="78"/>
      <c r="CN37" s="78"/>
      <c r="CO37" s="78"/>
      <c r="CP37" s="78"/>
      <c r="CQ37" s="78"/>
      <c r="CR37" s="78"/>
      <c r="CS37" s="78"/>
      <c r="CT37" s="78"/>
      <c r="CU37" s="78"/>
      <c r="CV37" s="78"/>
      <c r="CW37" s="78"/>
      <c r="CX37" s="78"/>
      <c r="CY37" s="78"/>
      <c r="CZ37" s="78"/>
      <c r="DA37" s="78"/>
      <c r="DB37" s="78"/>
      <c r="DC37" s="78"/>
      <c r="DD37" s="78"/>
      <c r="DE37" s="78"/>
      <c r="DF37" s="78"/>
      <c r="DG37" s="78"/>
      <c r="DH37" s="78"/>
      <c r="DI37" s="78"/>
      <c r="DJ37" s="78"/>
      <c r="DK37" s="78"/>
      <c r="DL37" s="78"/>
      <c r="DM37" s="78"/>
      <c r="DN37" s="78"/>
      <c r="DO37" s="78"/>
      <c r="DP37" s="78"/>
      <c r="DQ37" s="78"/>
      <c r="DR37" s="78"/>
      <c r="DS37" s="78"/>
      <c r="DT37" s="78"/>
      <c r="DU37" s="78"/>
      <c r="DV37" s="78"/>
      <c r="DW37" s="78"/>
      <c r="DX37" s="78"/>
      <c r="DY37" s="78"/>
      <c r="DZ37" s="78"/>
      <c r="EA37" s="78"/>
      <c r="EB37" s="78"/>
      <c r="EC37" s="78"/>
      <c r="ED37" s="78"/>
      <c r="EE37" s="78"/>
      <c r="EF37" s="78"/>
      <c r="EG37" s="78"/>
      <c r="EH37" s="78"/>
      <c r="EI37" s="78"/>
      <c r="EJ37" s="78"/>
      <c r="EK37" s="78"/>
      <c r="EL37" s="78"/>
      <c r="EM37" s="78"/>
      <c r="EN37" s="78"/>
      <c r="EO37" s="78"/>
      <c r="EP37" s="78"/>
      <c r="EQ37" s="78"/>
      <c r="ER37" s="78"/>
      <c r="ES37" s="78"/>
      <c r="ET37" s="78"/>
      <c r="EU37" s="78"/>
      <c r="EV37" s="78"/>
      <c r="EW37" s="78"/>
      <c r="EX37" s="78"/>
      <c r="EY37" s="78"/>
      <c r="EZ37" s="78"/>
      <c r="FA37" s="78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  <c r="IQ37" s="78"/>
      <c r="IR37" s="78"/>
      <c r="IS37" s="78"/>
      <c r="IT37" s="78"/>
      <c r="IU37" s="78"/>
      <c r="IV37" s="78"/>
    </row>
    <row r="38" spans="1:256">
      <c r="A38" s="57" t="s">
        <v>130</v>
      </c>
      <c r="B38" s="96">
        <v>4</v>
      </c>
      <c r="C38" s="89">
        <v>13500</v>
      </c>
      <c r="D38" s="86">
        <f t="shared" si="7"/>
        <v>54000</v>
      </c>
      <c r="E38" s="85" t="s">
        <v>467</v>
      </c>
      <c r="F38" s="88"/>
      <c r="G38" s="90"/>
      <c r="H38" s="90"/>
      <c r="I38" s="90"/>
      <c r="J38" s="90"/>
      <c r="K38" s="88"/>
      <c r="L38" s="86"/>
      <c r="M38" s="90"/>
      <c r="N38" s="90"/>
      <c r="O38" s="91">
        <f t="shared" si="8"/>
        <v>648000</v>
      </c>
      <c r="P38" s="88"/>
      <c r="Q38" s="88"/>
      <c r="R38" s="88"/>
      <c r="S38" s="88"/>
      <c r="T38" s="88"/>
      <c r="U38" s="8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  <c r="IV38" s="78"/>
    </row>
    <row r="39" spans="1:256">
      <c r="A39" s="57" t="s">
        <v>497</v>
      </c>
      <c r="B39" s="96">
        <v>5</v>
      </c>
      <c r="C39" s="89">
        <v>7000</v>
      </c>
      <c r="D39" s="86">
        <f t="shared" si="7"/>
        <v>35000</v>
      </c>
      <c r="E39" s="85" t="s">
        <v>467</v>
      </c>
      <c r="F39" s="88"/>
      <c r="G39" s="90"/>
      <c r="H39" s="90"/>
      <c r="I39" s="90"/>
      <c r="J39" s="90"/>
      <c r="K39" s="88"/>
      <c r="L39" s="86"/>
      <c r="M39" s="90"/>
      <c r="N39" s="90"/>
      <c r="O39" s="91">
        <f t="shared" si="8"/>
        <v>420000</v>
      </c>
      <c r="P39" s="88"/>
      <c r="Q39" s="88"/>
      <c r="R39" s="88"/>
      <c r="S39" s="88"/>
      <c r="T39" s="88"/>
      <c r="U39" s="8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  <c r="IV39" s="78"/>
    </row>
    <row r="40" spans="1:256">
      <c r="A40" s="57" t="s">
        <v>498</v>
      </c>
      <c r="B40" s="96">
        <v>1</v>
      </c>
      <c r="C40" s="89">
        <v>6000</v>
      </c>
      <c r="D40" s="86">
        <f t="shared" si="7"/>
        <v>6000</v>
      </c>
      <c r="E40" s="85" t="s">
        <v>467</v>
      </c>
      <c r="F40" s="88"/>
      <c r="G40" s="90"/>
      <c r="H40" s="90"/>
      <c r="I40" s="90"/>
      <c r="J40" s="90"/>
      <c r="K40" s="88"/>
      <c r="L40" s="86"/>
      <c r="M40" s="90"/>
      <c r="N40" s="90"/>
      <c r="O40" s="91">
        <f t="shared" si="8"/>
        <v>72000</v>
      </c>
      <c r="P40" s="88"/>
      <c r="Q40" s="88"/>
      <c r="R40" s="88"/>
      <c r="S40" s="88"/>
      <c r="T40" s="88"/>
      <c r="U40" s="8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  <c r="IV40" s="78"/>
    </row>
    <row r="41" spans="1:256">
      <c r="A41" s="57" t="s">
        <v>499</v>
      </c>
      <c r="B41" s="96">
        <v>1</v>
      </c>
      <c r="C41" s="89">
        <v>3500</v>
      </c>
      <c r="D41" s="86">
        <f t="shared" si="7"/>
        <v>3500</v>
      </c>
      <c r="E41" s="85" t="s">
        <v>467</v>
      </c>
      <c r="F41" s="88"/>
      <c r="G41" s="90"/>
      <c r="H41" s="90"/>
      <c r="I41" s="90"/>
      <c r="J41" s="90"/>
      <c r="K41" s="88"/>
      <c r="L41" s="86"/>
      <c r="M41" s="90"/>
      <c r="N41" s="90"/>
      <c r="O41" s="91">
        <f t="shared" si="8"/>
        <v>42000</v>
      </c>
      <c r="P41" s="88"/>
      <c r="Q41" s="88"/>
      <c r="R41" s="88"/>
      <c r="S41" s="88"/>
      <c r="T41" s="88"/>
      <c r="U41" s="8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  <c r="IV41" s="78"/>
    </row>
    <row r="42" spans="1:256">
      <c r="A42" s="57" t="s">
        <v>500</v>
      </c>
      <c r="B42" s="96">
        <v>1</v>
      </c>
      <c r="C42" s="89">
        <v>12000</v>
      </c>
      <c r="D42" s="86">
        <f t="shared" si="7"/>
        <v>12000</v>
      </c>
      <c r="E42" s="85" t="s">
        <v>467</v>
      </c>
      <c r="F42" s="88"/>
      <c r="G42" s="90"/>
      <c r="H42" s="90"/>
      <c r="I42" s="90"/>
      <c r="J42" s="90"/>
      <c r="K42" s="88"/>
      <c r="L42" s="86"/>
      <c r="M42" s="90"/>
      <c r="N42" s="90"/>
      <c r="O42" s="91">
        <f t="shared" si="8"/>
        <v>144000</v>
      </c>
      <c r="P42" s="88"/>
      <c r="Q42" s="88"/>
      <c r="R42" s="88"/>
      <c r="S42" s="88"/>
      <c r="T42" s="88"/>
      <c r="U42" s="8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  <c r="IV42" s="78"/>
    </row>
    <row r="43" spans="1:256">
      <c r="A43" s="57" t="s">
        <v>501</v>
      </c>
      <c r="B43" s="96">
        <v>4</v>
      </c>
      <c r="C43" s="89">
        <v>3500</v>
      </c>
      <c r="D43" s="86">
        <f t="shared" si="7"/>
        <v>14000</v>
      </c>
      <c r="E43" s="85" t="s">
        <v>467</v>
      </c>
      <c r="F43" s="88"/>
      <c r="G43" s="90"/>
      <c r="H43" s="90"/>
      <c r="I43" s="90"/>
      <c r="J43" s="90"/>
      <c r="K43" s="88"/>
      <c r="L43" s="86"/>
      <c r="M43" s="90"/>
      <c r="N43" s="90"/>
      <c r="O43" s="91">
        <f t="shared" si="8"/>
        <v>168000</v>
      </c>
      <c r="P43" s="88"/>
      <c r="Q43" s="88"/>
      <c r="R43" s="88"/>
      <c r="S43" s="88"/>
      <c r="T43" s="88"/>
      <c r="U43" s="8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  <c r="IV43" s="78"/>
    </row>
    <row r="44" spans="1:256">
      <c r="A44" s="57" t="s">
        <v>502</v>
      </c>
      <c r="B44" s="96">
        <v>2</v>
      </c>
      <c r="C44" s="89">
        <v>5000</v>
      </c>
      <c r="D44" s="86">
        <f t="shared" si="7"/>
        <v>10000</v>
      </c>
      <c r="E44" s="85" t="s">
        <v>467</v>
      </c>
      <c r="F44" s="88"/>
      <c r="G44" s="90"/>
      <c r="H44" s="90"/>
      <c r="I44" s="90"/>
      <c r="J44" s="90"/>
      <c r="K44" s="88"/>
      <c r="L44" s="86"/>
      <c r="M44" s="90"/>
      <c r="N44" s="90"/>
      <c r="O44" s="91">
        <f t="shared" si="8"/>
        <v>120000</v>
      </c>
      <c r="P44" s="88"/>
      <c r="Q44" s="88"/>
      <c r="R44" s="88"/>
      <c r="S44" s="88"/>
      <c r="T44" s="88"/>
      <c r="U44" s="8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  <c r="IV44" s="78"/>
    </row>
    <row r="45" spans="1:256">
      <c r="A45" s="57" t="s">
        <v>503</v>
      </c>
      <c r="B45" s="96">
        <v>4</v>
      </c>
      <c r="C45" s="89">
        <v>3000</v>
      </c>
      <c r="D45" s="86">
        <f t="shared" si="7"/>
        <v>12000</v>
      </c>
      <c r="E45" s="85" t="s">
        <v>467</v>
      </c>
      <c r="F45" s="88"/>
      <c r="G45" s="90"/>
      <c r="H45" s="90"/>
      <c r="I45" s="90"/>
      <c r="J45" s="90"/>
      <c r="K45" s="88"/>
      <c r="L45" s="86"/>
      <c r="M45" s="90"/>
      <c r="N45" s="90"/>
      <c r="O45" s="91">
        <f t="shared" si="8"/>
        <v>144000</v>
      </c>
      <c r="P45" s="88"/>
      <c r="Q45" s="88"/>
      <c r="R45" s="88"/>
      <c r="S45" s="88"/>
      <c r="T45" s="88"/>
      <c r="U45" s="8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  <c r="IV45" s="78"/>
    </row>
    <row r="46" spans="1:256">
      <c r="A46" s="57" t="s">
        <v>504</v>
      </c>
      <c r="B46" s="97">
        <v>1</v>
      </c>
      <c r="C46" s="92">
        <v>3000</v>
      </c>
      <c r="D46" s="86">
        <f t="shared" si="7"/>
        <v>3000</v>
      </c>
      <c r="E46" s="85" t="s">
        <v>467</v>
      </c>
      <c r="F46" s="88"/>
      <c r="G46" s="90"/>
      <c r="H46" s="90"/>
      <c r="I46" s="90"/>
      <c r="J46" s="90"/>
      <c r="K46" s="88"/>
      <c r="L46" s="86"/>
      <c r="M46" s="90"/>
      <c r="N46" s="90"/>
      <c r="O46" s="91">
        <f t="shared" si="8"/>
        <v>36000</v>
      </c>
      <c r="P46" s="88"/>
      <c r="Q46" s="88"/>
      <c r="R46" s="88"/>
      <c r="S46" s="88"/>
      <c r="T46" s="88"/>
      <c r="U46" s="8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  <c r="IV46" s="78"/>
    </row>
    <row r="47" spans="1:256">
      <c r="A47" s="57" t="s">
        <v>505</v>
      </c>
      <c r="B47" s="96">
        <v>1</v>
      </c>
      <c r="C47" s="89">
        <v>6000</v>
      </c>
      <c r="D47" s="86">
        <f t="shared" si="7"/>
        <v>6000</v>
      </c>
      <c r="E47" s="85" t="s">
        <v>467</v>
      </c>
      <c r="F47" s="88"/>
      <c r="G47" s="90"/>
      <c r="H47" s="90"/>
      <c r="I47" s="90"/>
      <c r="J47" s="90"/>
      <c r="K47" s="88"/>
      <c r="L47" s="86"/>
      <c r="M47" s="90"/>
      <c r="N47" s="90"/>
      <c r="O47" s="91">
        <f t="shared" si="8"/>
        <v>72000</v>
      </c>
      <c r="P47" s="88"/>
      <c r="Q47" s="88"/>
      <c r="R47" s="88"/>
      <c r="S47" s="88"/>
      <c r="T47" s="88"/>
      <c r="U47" s="8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  <c r="IV47" s="78"/>
    </row>
    <row r="48" spans="1:256">
      <c r="A48" s="57" t="s">
        <v>506</v>
      </c>
      <c r="B48" s="96">
        <v>1</v>
      </c>
      <c r="C48" s="89">
        <v>5000</v>
      </c>
      <c r="D48" s="86">
        <f t="shared" si="7"/>
        <v>5000</v>
      </c>
      <c r="E48" s="85" t="s">
        <v>467</v>
      </c>
      <c r="F48" s="88"/>
      <c r="G48" s="90"/>
      <c r="H48" s="90"/>
      <c r="I48" s="90"/>
      <c r="J48" s="90"/>
      <c r="K48" s="88"/>
      <c r="L48" s="86"/>
      <c r="M48" s="90"/>
      <c r="N48" s="90"/>
      <c r="O48" s="91">
        <f t="shared" si="8"/>
        <v>60000</v>
      </c>
      <c r="P48" s="88"/>
      <c r="Q48" s="88"/>
      <c r="R48" s="88"/>
      <c r="S48" s="88"/>
      <c r="T48" s="88"/>
      <c r="U48" s="8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  <c r="IV48" s="78"/>
    </row>
    <row r="49" spans="1:256">
      <c r="A49" s="57" t="s">
        <v>507</v>
      </c>
      <c r="B49" s="96">
        <v>1</v>
      </c>
      <c r="C49" s="89">
        <v>12000</v>
      </c>
      <c r="D49" s="86">
        <f t="shared" si="7"/>
        <v>12000</v>
      </c>
      <c r="E49" s="85" t="s">
        <v>467</v>
      </c>
      <c r="F49" s="88"/>
      <c r="G49" s="90"/>
      <c r="H49" s="90"/>
      <c r="I49" s="90"/>
      <c r="J49" s="90"/>
      <c r="K49" s="88"/>
      <c r="L49" s="86"/>
      <c r="M49" s="90"/>
      <c r="N49" s="90"/>
      <c r="O49" s="91">
        <f t="shared" si="8"/>
        <v>144000</v>
      </c>
      <c r="P49" s="88"/>
      <c r="Q49" s="88"/>
      <c r="R49" s="88"/>
      <c r="S49" s="88"/>
      <c r="T49" s="88"/>
      <c r="U49" s="8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  <c r="IV49" s="78"/>
    </row>
    <row r="50" spans="1:256">
      <c r="A50" s="57" t="s">
        <v>508</v>
      </c>
      <c r="B50" s="96">
        <v>5</v>
      </c>
      <c r="C50" s="89">
        <v>11000</v>
      </c>
      <c r="D50" s="86">
        <f t="shared" si="7"/>
        <v>55000</v>
      </c>
      <c r="E50" s="85" t="s">
        <v>467</v>
      </c>
      <c r="F50" s="88"/>
      <c r="G50" s="90"/>
      <c r="H50" s="90"/>
      <c r="I50" s="90"/>
      <c r="J50" s="90"/>
      <c r="K50" s="88"/>
      <c r="L50" s="86"/>
      <c r="M50" s="90"/>
      <c r="N50" s="90"/>
      <c r="O50" s="91">
        <f t="shared" si="8"/>
        <v>660000</v>
      </c>
      <c r="P50" s="88"/>
      <c r="Q50" s="88"/>
      <c r="R50" s="88"/>
      <c r="S50" s="88"/>
      <c r="T50" s="88"/>
      <c r="U50" s="8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  <c r="IV50" s="78"/>
    </row>
    <row r="51" spans="1:256">
      <c r="A51" s="57" t="s">
        <v>509</v>
      </c>
      <c r="B51" s="96">
        <v>18</v>
      </c>
      <c r="C51" s="89">
        <v>17500</v>
      </c>
      <c r="D51" s="86">
        <f t="shared" si="7"/>
        <v>315000</v>
      </c>
      <c r="E51" s="85" t="s">
        <v>467</v>
      </c>
      <c r="F51" s="88"/>
      <c r="G51" s="90"/>
      <c r="H51" s="90"/>
      <c r="I51" s="90"/>
      <c r="J51" s="90"/>
      <c r="K51" s="88"/>
      <c r="L51" s="86"/>
      <c r="M51" s="90"/>
      <c r="N51" s="90"/>
      <c r="O51" s="91">
        <f t="shared" si="8"/>
        <v>3780000</v>
      </c>
      <c r="P51" s="88"/>
      <c r="Q51" s="88"/>
      <c r="R51" s="88"/>
      <c r="S51" s="88"/>
      <c r="T51" s="88"/>
      <c r="U51" s="8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  <c r="IV51" s="78"/>
    </row>
    <row r="52" spans="1:256">
      <c r="A52" s="57" t="s">
        <v>510</v>
      </c>
      <c r="B52" s="96">
        <v>3</v>
      </c>
      <c r="C52" s="89">
        <v>7000</v>
      </c>
      <c r="D52" s="86">
        <f t="shared" si="7"/>
        <v>21000</v>
      </c>
      <c r="E52" s="85" t="s">
        <v>467</v>
      </c>
      <c r="F52" s="88"/>
      <c r="G52" s="90"/>
      <c r="H52" s="90"/>
      <c r="I52" s="90"/>
      <c r="J52" s="90"/>
      <c r="K52" s="88"/>
      <c r="L52" s="86"/>
      <c r="M52" s="90"/>
      <c r="N52" s="90"/>
      <c r="O52" s="91">
        <f t="shared" si="8"/>
        <v>252000</v>
      </c>
      <c r="P52" s="88"/>
      <c r="Q52" s="88"/>
      <c r="R52" s="88"/>
      <c r="S52" s="88"/>
      <c r="T52" s="88"/>
      <c r="U52" s="8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8"/>
      <c r="AY52" s="78"/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8"/>
      <c r="BK52" s="78"/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8"/>
      <c r="DT52" s="78"/>
      <c r="DU52" s="78"/>
      <c r="DV52" s="78"/>
      <c r="DW52" s="78"/>
      <c r="DX52" s="78"/>
      <c r="DY52" s="78"/>
      <c r="DZ52" s="78"/>
      <c r="EA52" s="78"/>
      <c r="EB52" s="78"/>
      <c r="EC52" s="78"/>
      <c r="ED52" s="78"/>
      <c r="EE52" s="78"/>
      <c r="EF52" s="78"/>
      <c r="EG52" s="78"/>
      <c r="EH52" s="78"/>
      <c r="EI52" s="78"/>
      <c r="EJ52" s="78"/>
      <c r="EK52" s="78"/>
      <c r="EL52" s="78"/>
      <c r="EM52" s="78"/>
      <c r="EN52" s="78"/>
      <c r="EO52" s="78"/>
      <c r="EP52" s="78"/>
      <c r="EQ52" s="78"/>
      <c r="ER52" s="78"/>
      <c r="ES52" s="78"/>
      <c r="ET52" s="78"/>
      <c r="EU52" s="78"/>
      <c r="EV52" s="78"/>
      <c r="EW52" s="78"/>
      <c r="EX52" s="78"/>
      <c r="EY52" s="78"/>
      <c r="EZ52" s="78"/>
      <c r="FA52" s="78"/>
      <c r="FB52" s="78"/>
      <c r="FC52" s="78"/>
      <c r="FD52" s="78"/>
      <c r="FE52" s="78"/>
      <c r="FF52" s="78"/>
      <c r="FG52" s="78"/>
      <c r="FH52" s="78"/>
      <c r="FI52" s="78"/>
      <c r="FJ52" s="78"/>
      <c r="FK52" s="78"/>
      <c r="FL52" s="78"/>
      <c r="FM52" s="78"/>
      <c r="FN52" s="78"/>
      <c r="FO52" s="78"/>
      <c r="FP52" s="78"/>
      <c r="FQ52" s="78"/>
      <c r="FR52" s="78"/>
      <c r="FS52" s="78"/>
      <c r="FT52" s="78"/>
      <c r="FU52" s="78"/>
      <c r="FV52" s="78"/>
      <c r="FW52" s="78"/>
      <c r="FX52" s="78"/>
      <c r="FY52" s="78"/>
      <c r="FZ52" s="78"/>
      <c r="GA52" s="78"/>
      <c r="GB52" s="78"/>
      <c r="GC52" s="78"/>
      <c r="GD52" s="78"/>
      <c r="GE52" s="78"/>
      <c r="GF52" s="78"/>
      <c r="GG52" s="78"/>
      <c r="GH52" s="78"/>
      <c r="GI52" s="78"/>
      <c r="GJ52" s="78"/>
      <c r="GK52" s="78"/>
      <c r="GL52" s="78"/>
      <c r="GM52" s="78"/>
      <c r="GN52" s="78"/>
      <c r="GO52" s="78"/>
      <c r="GP52" s="78"/>
      <c r="GQ52" s="78"/>
      <c r="GR52" s="78"/>
      <c r="GS52" s="78"/>
      <c r="GT52" s="78"/>
      <c r="GU52" s="78"/>
      <c r="GV52" s="78"/>
      <c r="GW52" s="78"/>
      <c r="GX52" s="78"/>
      <c r="GY52" s="78"/>
      <c r="GZ52" s="78"/>
      <c r="HA52" s="78"/>
      <c r="HB52" s="78"/>
      <c r="HC52" s="78"/>
      <c r="HD52" s="78"/>
      <c r="HE52" s="78"/>
      <c r="HF52" s="78"/>
      <c r="HG52" s="78"/>
      <c r="HH52" s="78"/>
      <c r="HI52" s="78"/>
      <c r="HJ52" s="78"/>
      <c r="HK52" s="78"/>
      <c r="HL52" s="78"/>
      <c r="HM52" s="78"/>
      <c r="HN52" s="78"/>
      <c r="HO52" s="78"/>
      <c r="HP52" s="78"/>
      <c r="HQ52" s="78"/>
      <c r="HR52" s="78"/>
      <c r="HS52" s="78"/>
      <c r="HT52" s="78"/>
      <c r="HU52" s="78"/>
      <c r="HV52" s="78"/>
      <c r="HW52" s="78"/>
      <c r="HX52" s="78"/>
      <c r="HY52" s="78"/>
      <c r="HZ52" s="78"/>
      <c r="IA52" s="78"/>
      <c r="IB52" s="78"/>
      <c r="IC52" s="78"/>
      <c r="ID52" s="78"/>
      <c r="IE52" s="78"/>
      <c r="IF52" s="78"/>
      <c r="IG52" s="78"/>
      <c r="IH52" s="78"/>
      <c r="II52" s="78"/>
      <c r="IJ52" s="78"/>
      <c r="IK52" s="78"/>
      <c r="IL52" s="78"/>
      <c r="IM52" s="78"/>
      <c r="IN52" s="78"/>
      <c r="IO52" s="78"/>
      <c r="IP52" s="78"/>
      <c r="IQ52" s="78"/>
      <c r="IR52" s="78"/>
      <c r="IS52" s="78"/>
      <c r="IT52" s="78"/>
      <c r="IU52" s="78"/>
      <c r="IV52" s="78"/>
    </row>
    <row r="53" spans="1:256">
      <c r="A53" s="57" t="s">
        <v>511</v>
      </c>
      <c r="B53" s="97">
        <v>1</v>
      </c>
      <c r="C53" s="92">
        <v>5000</v>
      </c>
      <c r="D53" s="86">
        <f t="shared" si="7"/>
        <v>5000</v>
      </c>
      <c r="E53" s="85" t="s">
        <v>467</v>
      </c>
      <c r="F53" s="88"/>
      <c r="G53" s="90"/>
      <c r="H53" s="90"/>
      <c r="I53" s="90"/>
      <c r="J53" s="90"/>
      <c r="K53" s="88"/>
      <c r="L53" s="86"/>
      <c r="M53" s="90"/>
      <c r="N53" s="90"/>
      <c r="O53" s="91">
        <f t="shared" si="8"/>
        <v>60000</v>
      </c>
      <c r="P53" s="88"/>
      <c r="Q53" s="88"/>
      <c r="R53" s="88"/>
      <c r="S53" s="88"/>
      <c r="T53" s="88"/>
      <c r="U53" s="8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  <c r="IV53" s="78"/>
    </row>
    <row r="54" spans="1:256">
      <c r="A54" s="57" t="s">
        <v>512</v>
      </c>
      <c r="B54" s="97">
        <v>2</v>
      </c>
      <c r="C54" s="92">
        <v>5000</v>
      </c>
      <c r="D54" s="86">
        <f t="shared" si="7"/>
        <v>10000</v>
      </c>
      <c r="E54" s="85" t="s">
        <v>467</v>
      </c>
      <c r="F54" s="88"/>
      <c r="G54" s="90"/>
      <c r="H54" s="90"/>
      <c r="I54" s="90"/>
      <c r="J54" s="90"/>
      <c r="K54" s="88"/>
      <c r="L54" s="86"/>
      <c r="M54" s="90"/>
      <c r="N54" s="90"/>
      <c r="O54" s="91">
        <f t="shared" si="8"/>
        <v>120000</v>
      </c>
      <c r="P54" s="88"/>
      <c r="Q54" s="88"/>
      <c r="R54" s="88"/>
      <c r="S54" s="88"/>
      <c r="T54" s="88"/>
      <c r="U54" s="8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  <c r="AM54" s="78"/>
      <c r="AN54" s="78"/>
      <c r="AO54" s="78"/>
      <c r="AP54" s="78"/>
      <c r="AQ54" s="78"/>
      <c r="AR54" s="78"/>
      <c r="AS54" s="78"/>
      <c r="AT54" s="78"/>
      <c r="AU54" s="78"/>
      <c r="AV54" s="78"/>
      <c r="AW54" s="78"/>
      <c r="AX54" s="78"/>
      <c r="AY54" s="78"/>
      <c r="AZ54" s="78"/>
      <c r="BA54" s="78"/>
      <c r="BB54" s="78"/>
      <c r="BC54" s="78"/>
      <c r="BD54" s="78"/>
      <c r="BE54" s="78"/>
      <c r="BF54" s="78"/>
      <c r="BG54" s="78"/>
      <c r="BH54" s="78"/>
      <c r="BI54" s="78"/>
      <c r="BJ54" s="78"/>
      <c r="BK54" s="78"/>
      <c r="BL54" s="78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8"/>
      <c r="CA54" s="78"/>
      <c r="CB54" s="78"/>
      <c r="CC54" s="78"/>
      <c r="CD54" s="78"/>
      <c r="CE54" s="78"/>
      <c r="CF54" s="78"/>
      <c r="CG54" s="78"/>
      <c r="CH54" s="78"/>
      <c r="CI54" s="78"/>
      <c r="CJ54" s="78"/>
      <c r="CK54" s="78"/>
      <c r="CL54" s="78"/>
      <c r="CM54" s="78"/>
      <c r="CN54" s="78"/>
      <c r="CO54" s="78"/>
      <c r="CP54" s="78"/>
      <c r="CQ54" s="78"/>
      <c r="CR54" s="78"/>
      <c r="CS54" s="78"/>
      <c r="CT54" s="78"/>
      <c r="CU54" s="78"/>
      <c r="CV54" s="78"/>
      <c r="CW54" s="78"/>
      <c r="CX54" s="78"/>
      <c r="CY54" s="78"/>
      <c r="CZ54" s="78"/>
      <c r="DA54" s="78"/>
      <c r="DB54" s="78"/>
      <c r="DC54" s="78"/>
      <c r="DD54" s="78"/>
      <c r="DE54" s="78"/>
      <c r="DF54" s="78"/>
      <c r="DG54" s="78"/>
      <c r="DH54" s="78"/>
      <c r="DI54" s="78"/>
      <c r="DJ54" s="78"/>
      <c r="DK54" s="78"/>
      <c r="DL54" s="78"/>
      <c r="DM54" s="78"/>
      <c r="DN54" s="78"/>
      <c r="DO54" s="78"/>
      <c r="DP54" s="78"/>
      <c r="DQ54" s="78"/>
      <c r="DR54" s="78"/>
      <c r="DS54" s="78"/>
      <c r="DT54" s="78"/>
      <c r="DU54" s="78"/>
      <c r="DV54" s="78"/>
      <c r="DW54" s="78"/>
      <c r="DX54" s="78"/>
      <c r="DY54" s="78"/>
      <c r="DZ54" s="78"/>
      <c r="EA54" s="78"/>
      <c r="EB54" s="78"/>
      <c r="EC54" s="78"/>
      <c r="ED54" s="78"/>
      <c r="EE54" s="78"/>
      <c r="EF54" s="78"/>
      <c r="EG54" s="78"/>
      <c r="EH54" s="78"/>
      <c r="EI54" s="78"/>
      <c r="EJ54" s="78"/>
      <c r="EK54" s="78"/>
      <c r="EL54" s="78"/>
      <c r="EM54" s="78"/>
      <c r="EN54" s="78"/>
      <c r="EO54" s="78"/>
      <c r="EP54" s="78"/>
      <c r="EQ54" s="78"/>
      <c r="ER54" s="78"/>
      <c r="ES54" s="78"/>
      <c r="ET54" s="78"/>
      <c r="EU54" s="78"/>
      <c r="EV54" s="78"/>
      <c r="EW54" s="78"/>
      <c r="EX54" s="78"/>
      <c r="EY54" s="78"/>
      <c r="EZ54" s="78"/>
      <c r="FA54" s="78"/>
      <c r="FB54" s="78"/>
      <c r="FC54" s="78"/>
      <c r="FD54" s="78"/>
      <c r="FE54" s="78"/>
      <c r="FF54" s="78"/>
      <c r="FG54" s="78"/>
      <c r="FH54" s="78"/>
      <c r="FI54" s="78"/>
      <c r="FJ54" s="78"/>
      <c r="FK54" s="78"/>
      <c r="FL54" s="78"/>
      <c r="FM54" s="78"/>
      <c r="FN54" s="78"/>
      <c r="FO54" s="78"/>
      <c r="FP54" s="78"/>
      <c r="FQ54" s="78"/>
      <c r="FR54" s="78"/>
      <c r="FS54" s="78"/>
      <c r="FT54" s="78"/>
      <c r="FU54" s="78"/>
      <c r="FV54" s="78"/>
      <c r="FW54" s="78"/>
      <c r="FX54" s="78"/>
      <c r="FY54" s="78"/>
      <c r="FZ54" s="78"/>
      <c r="GA54" s="78"/>
      <c r="GB54" s="78"/>
      <c r="GC54" s="78"/>
      <c r="GD54" s="78"/>
      <c r="GE54" s="78"/>
      <c r="GF54" s="78"/>
      <c r="GG54" s="78"/>
      <c r="GH54" s="78"/>
      <c r="GI54" s="78"/>
      <c r="GJ54" s="78"/>
      <c r="GK54" s="78"/>
      <c r="GL54" s="78"/>
      <c r="GM54" s="78"/>
      <c r="GN54" s="78"/>
      <c r="GO54" s="78"/>
      <c r="GP54" s="78"/>
      <c r="GQ54" s="78"/>
      <c r="GR54" s="78"/>
      <c r="GS54" s="78"/>
      <c r="GT54" s="78"/>
      <c r="GU54" s="78"/>
      <c r="GV54" s="78"/>
      <c r="GW54" s="78"/>
      <c r="GX54" s="78"/>
      <c r="GY54" s="78"/>
      <c r="GZ54" s="78"/>
      <c r="HA54" s="78"/>
      <c r="HB54" s="78"/>
      <c r="HC54" s="78"/>
      <c r="HD54" s="78"/>
      <c r="HE54" s="78"/>
      <c r="HF54" s="78"/>
      <c r="HG54" s="78"/>
      <c r="HH54" s="78"/>
      <c r="HI54" s="78"/>
      <c r="HJ54" s="78"/>
      <c r="HK54" s="78"/>
      <c r="HL54" s="78"/>
      <c r="HM54" s="78"/>
      <c r="HN54" s="78"/>
      <c r="HO54" s="78"/>
      <c r="HP54" s="78"/>
      <c r="HQ54" s="78"/>
      <c r="HR54" s="78"/>
      <c r="HS54" s="78"/>
      <c r="HT54" s="78"/>
      <c r="HU54" s="78"/>
      <c r="HV54" s="78"/>
      <c r="HW54" s="78"/>
      <c r="HX54" s="78"/>
      <c r="HY54" s="78"/>
      <c r="HZ54" s="78"/>
      <c r="IA54" s="78"/>
      <c r="IB54" s="78"/>
      <c r="IC54" s="78"/>
      <c r="ID54" s="78"/>
      <c r="IE54" s="78"/>
      <c r="IF54" s="78"/>
      <c r="IG54" s="78"/>
      <c r="IH54" s="78"/>
      <c r="II54" s="78"/>
      <c r="IJ54" s="78"/>
      <c r="IK54" s="78"/>
      <c r="IL54" s="78"/>
      <c r="IM54" s="78"/>
      <c r="IN54" s="78"/>
      <c r="IO54" s="78"/>
      <c r="IP54" s="78"/>
      <c r="IQ54" s="78"/>
      <c r="IR54" s="78"/>
      <c r="IS54" s="78"/>
      <c r="IT54" s="78"/>
      <c r="IU54" s="78"/>
      <c r="IV54" s="78"/>
    </row>
    <row r="55" spans="1:256">
      <c r="A55" s="57" t="s">
        <v>513</v>
      </c>
      <c r="B55" s="97">
        <v>1</v>
      </c>
      <c r="C55" s="92">
        <v>5000</v>
      </c>
      <c r="D55" s="86">
        <f t="shared" si="7"/>
        <v>5000</v>
      </c>
      <c r="E55" s="85" t="s">
        <v>467</v>
      </c>
      <c r="F55" s="88"/>
      <c r="G55" s="90"/>
      <c r="H55" s="90"/>
      <c r="I55" s="90"/>
      <c r="J55" s="90"/>
      <c r="K55" s="88"/>
      <c r="L55" s="86"/>
      <c r="M55" s="90"/>
      <c r="N55" s="90"/>
      <c r="O55" s="91">
        <f t="shared" si="8"/>
        <v>60000</v>
      </c>
      <c r="P55" s="88"/>
      <c r="Q55" s="88"/>
      <c r="R55" s="88"/>
      <c r="S55" s="88"/>
      <c r="T55" s="88"/>
      <c r="U55" s="8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  <c r="AQ55" s="78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  <c r="BG55" s="78"/>
      <c r="BH55" s="78"/>
      <c r="BI55" s="78"/>
      <c r="BJ55" s="78"/>
      <c r="BK55" s="78"/>
      <c r="BL55" s="78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8"/>
      <c r="CA55" s="78"/>
      <c r="CB55" s="78"/>
      <c r="CC55" s="78"/>
      <c r="CD55" s="78"/>
      <c r="CE55" s="78"/>
      <c r="CF55" s="78"/>
      <c r="CG55" s="78"/>
      <c r="CH55" s="78"/>
      <c r="CI55" s="78"/>
      <c r="CJ55" s="78"/>
      <c r="CK55" s="78"/>
      <c r="CL55" s="78"/>
      <c r="CM55" s="78"/>
      <c r="CN55" s="78"/>
      <c r="CO55" s="78"/>
      <c r="CP55" s="78"/>
      <c r="CQ55" s="78"/>
      <c r="CR55" s="78"/>
      <c r="CS55" s="78"/>
      <c r="CT55" s="78"/>
      <c r="CU55" s="78"/>
      <c r="CV55" s="78"/>
      <c r="CW55" s="78"/>
      <c r="CX55" s="78"/>
      <c r="CY55" s="78"/>
      <c r="CZ55" s="78"/>
      <c r="DA55" s="78"/>
      <c r="DB55" s="78"/>
      <c r="DC55" s="78"/>
      <c r="DD55" s="78"/>
      <c r="DE55" s="78"/>
      <c r="DF55" s="78"/>
      <c r="DG55" s="78"/>
      <c r="DH55" s="78"/>
      <c r="DI55" s="78"/>
      <c r="DJ55" s="78"/>
      <c r="DK55" s="78"/>
      <c r="DL55" s="78"/>
      <c r="DM55" s="78"/>
      <c r="DN55" s="78"/>
      <c r="DO55" s="78"/>
      <c r="DP55" s="78"/>
      <c r="DQ55" s="78"/>
      <c r="DR55" s="78"/>
      <c r="DS55" s="78"/>
      <c r="DT55" s="78"/>
      <c r="DU55" s="78"/>
      <c r="DV55" s="78"/>
      <c r="DW55" s="78"/>
      <c r="DX55" s="78"/>
      <c r="DY55" s="78"/>
      <c r="DZ55" s="78"/>
      <c r="EA55" s="78"/>
      <c r="EB55" s="78"/>
      <c r="EC55" s="78"/>
      <c r="ED55" s="78"/>
      <c r="EE55" s="78"/>
      <c r="EF55" s="78"/>
      <c r="EG55" s="78"/>
      <c r="EH55" s="78"/>
      <c r="EI55" s="78"/>
      <c r="EJ55" s="78"/>
      <c r="EK55" s="78"/>
      <c r="EL55" s="78"/>
      <c r="EM55" s="78"/>
      <c r="EN55" s="78"/>
      <c r="EO55" s="78"/>
      <c r="EP55" s="78"/>
      <c r="EQ55" s="78"/>
      <c r="ER55" s="78"/>
      <c r="ES55" s="78"/>
      <c r="ET55" s="78"/>
      <c r="EU55" s="78"/>
      <c r="EV55" s="78"/>
      <c r="EW55" s="78"/>
      <c r="EX55" s="78"/>
      <c r="EY55" s="78"/>
      <c r="EZ55" s="78"/>
      <c r="FA55" s="78"/>
      <c r="FB55" s="78"/>
      <c r="FC55" s="78"/>
      <c r="FD55" s="78"/>
      <c r="FE55" s="78"/>
      <c r="FF55" s="78"/>
      <c r="FG55" s="78"/>
      <c r="FH55" s="78"/>
      <c r="FI55" s="78"/>
      <c r="FJ55" s="78"/>
      <c r="FK55" s="78"/>
      <c r="FL55" s="78"/>
      <c r="FM55" s="78"/>
      <c r="FN55" s="78"/>
      <c r="FO55" s="78"/>
      <c r="FP55" s="78"/>
      <c r="FQ55" s="78"/>
      <c r="FR55" s="78"/>
      <c r="FS55" s="78"/>
      <c r="FT55" s="78"/>
      <c r="FU55" s="78"/>
      <c r="FV55" s="78"/>
      <c r="FW55" s="78"/>
      <c r="FX55" s="78"/>
      <c r="FY55" s="78"/>
      <c r="FZ55" s="78"/>
      <c r="GA55" s="78"/>
      <c r="GB55" s="78"/>
      <c r="GC55" s="78"/>
      <c r="GD55" s="78"/>
      <c r="GE55" s="78"/>
      <c r="GF55" s="78"/>
      <c r="GG55" s="78"/>
      <c r="GH55" s="78"/>
      <c r="GI55" s="78"/>
      <c r="GJ55" s="78"/>
      <c r="GK55" s="78"/>
      <c r="GL55" s="78"/>
      <c r="GM55" s="78"/>
      <c r="GN55" s="78"/>
      <c r="GO55" s="78"/>
      <c r="GP55" s="78"/>
      <c r="GQ55" s="78"/>
      <c r="GR55" s="78"/>
      <c r="GS55" s="78"/>
      <c r="GT55" s="78"/>
      <c r="GU55" s="78"/>
      <c r="GV55" s="78"/>
      <c r="GW55" s="78"/>
      <c r="GX55" s="78"/>
      <c r="GY55" s="78"/>
      <c r="GZ55" s="78"/>
      <c r="HA55" s="78"/>
      <c r="HB55" s="78"/>
      <c r="HC55" s="78"/>
      <c r="HD55" s="78"/>
      <c r="HE55" s="78"/>
      <c r="HF55" s="78"/>
      <c r="HG55" s="78"/>
      <c r="HH55" s="78"/>
      <c r="HI55" s="78"/>
      <c r="HJ55" s="78"/>
      <c r="HK55" s="78"/>
      <c r="HL55" s="78"/>
      <c r="HM55" s="78"/>
      <c r="HN55" s="78"/>
      <c r="HO55" s="78"/>
      <c r="HP55" s="78"/>
      <c r="HQ55" s="78"/>
      <c r="HR55" s="78"/>
      <c r="HS55" s="78"/>
      <c r="HT55" s="78"/>
      <c r="HU55" s="78"/>
      <c r="HV55" s="78"/>
      <c r="HW55" s="78"/>
      <c r="HX55" s="78"/>
      <c r="HY55" s="78"/>
      <c r="HZ55" s="78"/>
      <c r="IA55" s="78"/>
      <c r="IB55" s="78"/>
      <c r="IC55" s="78"/>
      <c r="ID55" s="78"/>
      <c r="IE55" s="78"/>
      <c r="IF55" s="78"/>
      <c r="IG55" s="78"/>
      <c r="IH55" s="78"/>
      <c r="II55" s="78"/>
      <c r="IJ55" s="78"/>
      <c r="IK55" s="78"/>
      <c r="IL55" s="78"/>
      <c r="IM55" s="78"/>
      <c r="IN55" s="78"/>
      <c r="IO55" s="78"/>
      <c r="IP55" s="78"/>
      <c r="IQ55" s="78"/>
      <c r="IR55" s="78"/>
      <c r="IS55" s="78"/>
      <c r="IT55" s="78"/>
      <c r="IU55" s="78"/>
      <c r="IV55" s="78"/>
    </row>
    <row r="56" spans="1:256">
      <c r="A56" s="57" t="s">
        <v>514</v>
      </c>
      <c r="B56" s="97">
        <v>2</v>
      </c>
      <c r="C56" s="92">
        <v>5000</v>
      </c>
      <c r="D56" s="86">
        <f t="shared" si="7"/>
        <v>10000</v>
      </c>
      <c r="E56" s="85" t="s">
        <v>467</v>
      </c>
      <c r="F56" s="88"/>
      <c r="G56" s="90"/>
      <c r="H56" s="90"/>
      <c r="I56" s="90"/>
      <c r="J56" s="90"/>
      <c r="K56" s="88"/>
      <c r="L56" s="86"/>
      <c r="M56" s="90"/>
      <c r="N56" s="90"/>
      <c r="O56" s="91">
        <f t="shared" si="8"/>
        <v>120000</v>
      </c>
      <c r="P56" s="88"/>
      <c r="Q56" s="88"/>
      <c r="R56" s="88"/>
      <c r="S56" s="88"/>
      <c r="T56" s="88"/>
      <c r="U56" s="8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  <c r="AZ56" s="78"/>
      <c r="BA56" s="78"/>
      <c r="BB56" s="78"/>
      <c r="BC56" s="78"/>
      <c r="BD56" s="78"/>
      <c r="BE56" s="78"/>
      <c r="BF56" s="78"/>
      <c r="BG56" s="78"/>
      <c r="BH56" s="78"/>
      <c r="BI56" s="78"/>
      <c r="BJ56" s="78"/>
      <c r="BK56" s="78"/>
      <c r="BL56" s="78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8"/>
      <c r="CA56" s="78"/>
      <c r="CB56" s="78"/>
      <c r="CC56" s="78"/>
      <c r="CD56" s="78"/>
      <c r="CE56" s="78"/>
      <c r="CF56" s="78"/>
      <c r="CG56" s="78"/>
      <c r="CH56" s="78"/>
      <c r="CI56" s="78"/>
      <c r="CJ56" s="78"/>
      <c r="CK56" s="78"/>
      <c r="CL56" s="78"/>
      <c r="CM56" s="78"/>
      <c r="CN56" s="78"/>
      <c r="CO56" s="78"/>
      <c r="CP56" s="78"/>
      <c r="CQ56" s="78"/>
      <c r="CR56" s="78"/>
      <c r="CS56" s="78"/>
      <c r="CT56" s="78"/>
      <c r="CU56" s="78"/>
      <c r="CV56" s="78"/>
      <c r="CW56" s="78"/>
      <c r="CX56" s="78"/>
      <c r="CY56" s="78"/>
      <c r="CZ56" s="78"/>
      <c r="DA56" s="78"/>
      <c r="DB56" s="78"/>
      <c r="DC56" s="78"/>
      <c r="DD56" s="78"/>
      <c r="DE56" s="78"/>
      <c r="DF56" s="78"/>
      <c r="DG56" s="78"/>
      <c r="DH56" s="78"/>
      <c r="DI56" s="78"/>
      <c r="DJ56" s="78"/>
      <c r="DK56" s="78"/>
      <c r="DL56" s="78"/>
      <c r="DM56" s="78"/>
      <c r="DN56" s="78"/>
      <c r="DO56" s="78"/>
      <c r="DP56" s="78"/>
      <c r="DQ56" s="78"/>
      <c r="DR56" s="78"/>
      <c r="DS56" s="78"/>
      <c r="DT56" s="78"/>
      <c r="DU56" s="78"/>
      <c r="DV56" s="78"/>
      <c r="DW56" s="78"/>
      <c r="DX56" s="78"/>
      <c r="DY56" s="78"/>
      <c r="DZ56" s="78"/>
      <c r="EA56" s="78"/>
      <c r="EB56" s="78"/>
      <c r="EC56" s="78"/>
      <c r="ED56" s="78"/>
      <c r="EE56" s="78"/>
      <c r="EF56" s="78"/>
      <c r="EG56" s="78"/>
      <c r="EH56" s="78"/>
      <c r="EI56" s="78"/>
      <c r="EJ56" s="78"/>
      <c r="EK56" s="78"/>
      <c r="EL56" s="78"/>
      <c r="EM56" s="78"/>
      <c r="EN56" s="78"/>
      <c r="EO56" s="78"/>
      <c r="EP56" s="78"/>
      <c r="EQ56" s="78"/>
      <c r="ER56" s="78"/>
      <c r="ES56" s="78"/>
      <c r="ET56" s="78"/>
      <c r="EU56" s="78"/>
      <c r="EV56" s="78"/>
      <c r="EW56" s="78"/>
      <c r="EX56" s="78"/>
      <c r="EY56" s="78"/>
      <c r="EZ56" s="78"/>
      <c r="FA56" s="78"/>
      <c r="FB56" s="78"/>
      <c r="FC56" s="78"/>
      <c r="FD56" s="78"/>
      <c r="FE56" s="78"/>
      <c r="FF56" s="78"/>
      <c r="FG56" s="78"/>
      <c r="FH56" s="78"/>
      <c r="FI56" s="78"/>
      <c r="FJ56" s="78"/>
      <c r="FK56" s="78"/>
      <c r="FL56" s="78"/>
      <c r="FM56" s="78"/>
      <c r="FN56" s="78"/>
      <c r="FO56" s="78"/>
      <c r="FP56" s="78"/>
      <c r="FQ56" s="78"/>
      <c r="FR56" s="78"/>
      <c r="FS56" s="78"/>
      <c r="FT56" s="78"/>
      <c r="FU56" s="78"/>
      <c r="FV56" s="78"/>
      <c r="FW56" s="78"/>
      <c r="FX56" s="78"/>
      <c r="FY56" s="78"/>
      <c r="FZ56" s="78"/>
      <c r="GA56" s="78"/>
      <c r="GB56" s="78"/>
      <c r="GC56" s="78"/>
      <c r="GD56" s="78"/>
      <c r="GE56" s="78"/>
      <c r="GF56" s="78"/>
      <c r="GG56" s="78"/>
      <c r="GH56" s="78"/>
      <c r="GI56" s="78"/>
      <c r="GJ56" s="78"/>
      <c r="GK56" s="78"/>
      <c r="GL56" s="78"/>
      <c r="GM56" s="78"/>
      <c r="GN56" s="78"/>
      <c r="GO56" s="78"/>
      <c r="GP56" s="78"/>
      <c r="GQ56" s="78"/>
      <c r="GR56" s="78"/>
      <c r="GS56" s="78"/>
      <c r="GT56" s="78"/>
      <c r="GU56" s="78"/>
      <c r="GV56" s="78"/>
      <c r="GW56" s="78"/>
      <c r="GX56" s="78"/>
      <c r="GY56" s="78"/>
      <c r="GZ56" s="78"/>
      <c r="HA56" s="78"/>
      <c r="HB56" s="78"/>
      <c r="HC56" s="78"/>
      <c r="HD56" s="78"/>
      <c r="HE56" s="78"/>
      <c r="HF56" s="78"/>
      <c r="HG56" s="78"/>
      <c r="HH56" s="78"/>
      <c r="HI56" s="78"/>
      <c r="HJ56" s="78"/>
      <c r="HK56" s="78"/>
      <c r="HL56" s="78"/>
      <c r="HM56" s="78"/>
      <c r="HN56" s="78"/>
      <c r="HO56" s="78"/>
      <c r="HP56" s="78"/>
      <c r="HQ56" s="78"/>
      <c r="HR56" s="78"/>
      <c r="HS56" s="78"/>
      <c r="HT56" s="78"/>
      <c r="HU56" s="78"/>
      <c r="HV56" s="78"/>
      <c r="HW56" s="78"/>
      <c r="HX56" s="78"/>
      <c r="HY56" s="78"/>
      <c r="HZ56" s="78"/>
      <c r="IA56" s="78"/>
      <c r="IB56" s="78"/>
      <c r="IC56" s="78"/>
      <c r="ID56" s="78"/>
      <c r="IE56" s="78"/>
      <c r="IF56" s="78"/>
      <c r="IG56" s="78"/>
      <c r="IH56" s="78"/>
      <c r="II56" s="78"/>
      <c r="IJ56" s="78"/>
      <c r="IK56" s="78"/>
      <c r="IL56" s="78"/>
      <c r="IM56" s="78"/>
      <c r="IN56" s="78"/>
      <c r="IO56" s="78"/>
      <c r="IP56" s="78"/>
      <c r="IQ56" s="78"/>
      <c r="IR56" s="78"/>
      <c r="IS56" s="78"/>
      <c r="IT56" s="78"/>
      <c r="IU56" s="78"/>
      <c r="IV56" s="78"/>
    </row>
    <row r="57" spans="1:256">
      <c r="A57" s="57" t="s">
        <v>515</v>
      </c>
      <c r="B57" s="97">
        <v>1</v>
      </c>
      <c r="C57" s="92">
        <v>5000</v>
      </c>
      <c r="D57" s="86">
        <f t="shared" si="7"/>
        <v>5000</v>
      </c>
      <c r="E57" s="85" t="s">
        <v>467</v>
      </c>
      <c r="F57" s="88"/>
      <c r="G57" s="90"/>
      <c r="H57" s="90"/>
      <c r="I57" s="90"/>
      <c r="J57" s="90"/>
      <c r="K57" s="88"/>
      <c r="L57" s="86"/>
      <c r="M57" s="90"/>
      <c r="N57" s="90"/>
      <c r="O57" s="91">
        <f t="shared" si="8"/>
        <v>60000</v>
      </c>
      <c r="P57" s="88"/>
      <c r="Q57" s="88"/>
      <c r="R57" s="88"/>
      <c r="S57" s="88"/>
      <c r="T57" s="88"/>
      <c r="U57" s="88"/>
      <c r="V57" s="78"/>
      <c r="W57" s="78"/>
      <c r="X57" s="78"/>
      <c r="Y57" s="78"/>
      <c r="Z57" s="78"/>
      <c r="AA57" s="78"/>
      <c r="AB57" s="78"/>
      <c r="AC57" s="78"/>
      <c r="AD57" s="78"/>
      <c r="AE57" s="78"/>
      <c r="AF57" s="78"/>
      <c r="AG57" s="78"/>
      <c r="AH57" s="78"/>
      <c r="AI57" s="78"/>
      <c r="AJ57" s="78"/>
      <c r="AK57" s="78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78"/>
      <c r="BE57" s="78"/>
      <c r="BF57" s="78"/>
      <c r="BG57" s="78"/>
      <c r="BH57" s="78"/>
      <c r="BI57" s="78"/>
      <c r="BJ57" s="78"/>
      <c r="BK57" s="78"/>
      <c r="BL57" s="78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8"/>
      <c r="CA57" s="78"/>
      <c r="CB57" s="78"/>
      <c r="CC57" s="78"/>
      <c r="CD57" s="78"/>
      <c r="CE57" s="78"/>
      <c r="CF57" s="78"/>
      <c r="CG57" s="78"/>
      <c r="CH57" s="78"/>
      <c r="CI57" s="78"/>
      <c r="CJ57" s="78"/>
      <c r="CK57" s="78"/>
      <c r="CL57" s="78"/>
      <c r="CM57" s="78"/>
      <c r="CN57" s="78"/>
      <c r="CO57" s="78"/>
      <c r="CP57" s="78"/>
      <c r="CQ57" s="78"/>
      <c r="CR57" s="78"/>
      <c r="CS57" s="78"/>
      <c r="CT57" s="78"/>
      <c r="CU57" s="78"/>
      <c r="CV57" s="78"/>
      <c r="CW57" s="78"/>
      <c r="CX57" s="78"/>
      <c r="CY57" s="78"/>
      <c r="CZ57" s="78"/>
      <c r="DA57" s="78"/>
      <c r="DB57" s="78"/>
      <c r="DC57" s="78"/>
      <c r="DD57" s="78"/>
      <c r="DE57" s="78"/>
      <c r="DF57" s="78"/>
      <c r="DG57" s="78"/>
      <c r="DH57" s="78"/>
      <c r="DI57" s="78"/>
      <c r="DJ57" s="78"/>
      <c r="DK57" s="78"/>
      <c r="DL57" s="78"/>
      <c r="DM57" s="78"/>
      <c r="DN57" s="78"/>
      <c r="DO57" s="78"/>
      <c r="DP57" s="78"/>
      <c r="DQ57" s="78"/>
      <c r="DR57" s="78"/>
      <c r="DS57" s="78"/>
      <c r="DT57" s="78"/>
      <c r="DU57" s="78"/>
      <c r="DV57" s="78"/>
      <c r="DW57" s="78"/>
      <c r="DX57" s="78"/>
      <c r="DY57" s="78"/>
      <c r="DZ57" s="78"/>
      <c r="EA57" s="78"/>
      <c r="EB57" s="78"/>
      <c r="EC57" s="78"/>
      <c r="ED57" s="78"/>
      <c r="EE57" s="78"/>
      <c r="EF57" s="78"/>
      <c r="EG57" s="78"/>
      <c r="EH57" s="78"/>
      <c r="EI57" s="78"/>
      <c r="EJ57" s="78"/>
      <c r="EK57" s="78"/>
      <c r="EL57" s="78"/>
      <c r="EM57" s="78"/>
      <c r="EN57" s="78"/>
      <c r="EO57" s="78"/>
      <c r="EP57" s="78"/>
      <c r="EQ57" s="78"/>
      <c r="ER57" s="78"/>
      <c r="ES57" s="78"/>
      <c r="ET57" s="78"/>
      <c r="EU57" s="78"/>
      <c r="EV57" s="78"/>
      <c r="EW57" s="78"/>
      <c r="EX57" s="78"/>
      <c r="EY57" s="78"/>
      <c r="EZ57" s="78"/>
      <c r="FA57" s="78"/>
      <c r="FB57" s="78"/>
      <c r="FC57" s="78"/>
      <c r="FD57" s="78"/>
      <c r="FE57" s="78"/>
      <c r="FF57" s="78"/>
      <c r="FG57" s="78"/>
      <c r="FH57" s="78"/>
      <c r="FI57" s="78"/>
      <c r="FJ57" s="78"/>
      <c r="FK57" s="78"/>
      <c r="FL57" s="78"/>
      <c r="FM57" s="78"/>
      <c r="FN57" s="78"/>
      <c r="FO57" s="78"/>
      <c r="FP57" s="78"/>
      <c r="FQ57" s="78"/>
      <c r="FR57" s="78"/>
      <c r="FS57" s="78"/>
      <c r="FT57" s="78"/>
      <c r="FU57" s="78"/>
      <c r="FV57" s="78"/>
      <c r="FW57" s="78"/>
      <c r="FX57" s="78"/>
      <c r="FY57" s="78"/>
      <c r="FZ57" s="78"/>
      <c r="GA57" s="78"/>
      <c r="GB57" s="78"/>
      <c r="GC57" s="78"/>
      <c r="GD57" s="78"/>
      <c r="GE57" s="78"/>
      <c r="GF57" s="78"/>
      <c r="GG57" s="78"/>
      <c r="GH57" s="78"/>
      <c r="GI57" s="78"/>
      <c r="GJ57" s="78"/>
      <c r="GK57" s="78"/>
      <c r="GL57" s="78"/>
      <c r="GM57" s="78"/>
      <c r="GN57" s="78"/>
      <c r="GO57" s="78"/>
      <c r="GP57" s="78"/>
      <c r="GQ57" s="78"/>
      <c r="GR57" s="78"/>
      <c r="GS57" s="78"/>
      <c r="GT57" s="78"/>
      <c r="GU57" s="78"/>
      <c r="GV57" s="78"/>
      <c r="GW57" s="78"/>
      <c r="GX57" s="78"/>
      <c r="GY57" s="78"/>
      <c r="GZ57" s="78"/>
      <c r="HA57" s="78"/>
      <c r="HB57" s="78"/>
      <c r="HC57" s="78"/>
      <c r="HD57" s="78"/>
      <c r="HE57" s="78"/>
      <c r="HF57" s="78"/>
      <c r="HG57" s="78"/>
      <c r="HH57" s="78"/>
      <c r="HI57" s="78"/>
      <c r="HJ57" s="78"/>
      <c r="HK57" s="78"/>
      <c r="HL57" s="78"/>
      <c r="HM57" s="78"/>
      <c r="HN57" s="78"/>
      <c r="HO57" s="78"/>
      <c r="HP57" s="78"/>
      <c r="HQ57" s="78"/>
      <c r="HR57" s="78"/>
      <c r="HS57" s="78"/>
      <c r="HT57" s="78"/>
      <c r="HU57" s="78"/>
      <c r="HV57" s="78"/>
      <c r="HW57" s="78"/>
      <c r="HX57" s="78"/>
      <c r="HY57" s="78"/>
      <c r="HZ57" s="78"/>
      <c r="IA57" s="78"/>
      <c r="IB57" s="78"/>
      <c r="IC57" s="78"/>
      <c r="ID57" s="78"/>
      <c r="IE57" s="78"/>
      <c r="IF57" s="78"/>
      <c r="IG57" s="78"/>
      <c r="IH57" s="78"/>
      <c r="II57" s="78"/>
      <c r="IJ57" s="78"/>
      <c r="IK57" s="78"/>
      <c r="IL57" s="78"/>
      <c r="IM57" s="78"/>
      <c r="IN57" s="78"/>
      <c r="IO57" s="78"/>
      <c r="IP57" s="78"/>
      <c r="IQ57" s="78"/>
      <c r="IR57" s="78"/>
      <c r="IS57" s="78"/>
      <c r="IT57" s="78"/>
      <c r="IU57" s="78"/>
      <c r="IV57" s="78"/>
    </row>
    <row r="58" spans="1:256">
      <c r="A58" s="57" t="s">
        <v>516</v>
      </c>
      <c r="B58" s="97">
        <v>4</v>
      </c>
      <c r="C58" s="92">
        <v>5000</v>
      </c>
      <c r="D58" s="86">
        <f t="shared" si="7"/>
        <v>20000</v>
      </c>
      <c r="E58" s="85" t="s">
        <v>467</v>
      </c>
      <c r="F58" s="88"/>
      <c r="G58" s="90"/>
      <c r="H58" s="90"/>
      <c r="I58" s="90"/>
      <c r="J58" s="90"/>
      <c r="K58" s="88"/>
      <c r="L58" s="86"/>
      <c r="M58" s="90"/>
      <c r="N58" s="90"/>
      <c r="O58" s="91">
        <f t="shared" si="8"/>
        <v>240000</v>
      </c>
      <c r="P58" s="88"/>
      <c r="Q58" s="88"/>
      <c r="R58" s="88"/>
      <c r="S58" s="88"/>
      <c r="T58" s="88"/>
      <c r="U58" s="8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78"/>
      <c r="BD58" s="78"/>
      <c r="BE58" s="78"/>
      <c r="BF58" s="78"/>
      <c r="BG58" s="78"/>
      <c r="BH58" s="78"/>
      <c r="BI58" s="78"/>
      <c r="BJ58" s="78"/>
      <c r="BK58" s="78"/>
      <c r="BL58" s="78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8"/>
      <c r="CA58" s="78"/>
      <c r="CB58" s="78"/>
      <c r="CC58" s="78"/>
      <c r="CD58" s="78"/>
      <c r="CE58" s="78"/>
      <c r="CF58" s="78"/>
      <c r="CG58" s="78"/>
      <c r="CH58" s="78"/>
      <c r="CI58" s="78"/>
      <c r="CJ58" s="78"/>
      <c r="CK58" s="78"/>
      <c r="CL58" s="78"/>
      <c r="CM58" s="78"/>
      <c r="CN58" s="78"/>
      <c r="CO58" s="78"/>
      <c r="CP58" s="78"/>
      <c r="CQ58" s="78"/>
      <c r="CR58" s="78"/>
      <c r="CS58" s="78"/>
      <c r="CT58" s="78"/>
      <c r="CU58" s="78"/>
      <c r="CV58" s="78"/>
      <c r="CW58" s="78"/>
      <c r="CX58" s="78"/>
      <c r="CY58" s="78"/>
      <c r="CZ58" s="78"/>
      <c r="DA58" s="78"/>
      <c r="DB58" s="78"/>
      <c r="DC58" s="78"/>
      <c r="DD58" s="78"/>
      <c r="DE58" s="78"/>
      <c r="DF58" s="78"/>
      <c r="DG58" s="78"/>
      <c r="DH58" s="78"/>
      <c r="DI58" s="78"/>
      <c r="DJ58" s="78"/>
      <c r="DK58" s="78"/>
      <c r="DL58" s="78"/>
      <c r="DM58" s="78"/>
      <c r="DN58" s="78"/>
      <c r="DO58" s="78"/>
      <c r="DP58" s="78"/>
      <c r="DQ58" s="78"/>
      <c r="DR58" s="78"/>
      <c r="DS58" s="78"/>
      <c r="DT58" s="78"/>
      <c r="DU58" s="78"/>
      <c r="DV58" s="78"/>
      <c r="DW58" s="78"/>
      <c r="DX58" s="78"/>
      <c r="DY58" s="78"/>
      <c r="DZ58" s="78"/>
      <c r="EA58" s="78"/>
      <c r="EB58" s="78"/>
      <c r="EC58" s="78"/>
      <c r="ED58" s="78"/>
      <c r="EE58" s="78"/>
      <c r="EF58" s="78"/>
      <c r="EG58" s="78"/>
      <c r="EH58" s="78"/>
      <c r="EI58" s="78"/>
      <c r="EJ58" s="78"/>
      <c r="EK58" s="78"/>
      <c r="EL58" s="78"/>
      <c r="EM58" s="78"/>
      <c r="EN58" s="78"/>
      <c r="EO58" s="78"/>
      <c r="EP58" s="78"/>
      <c r="EQ58" s="78"/>
      <c r="ER58" s="78"/>
      <c r="ES58" s="78"/>
      <c r="ET58" s="78"/>
      <c r="EU58" s="78"/>
      <c r="EV58" s="78"/>
      <c r="EW58" s="78"/>
      <c r="EX58" s="78"/>
      <c r="EY58" s="78"/>
      <c r="EZ58" s="78"/>
      <c r="FA58" s="78"/>
      <c r="FB58" s="78"/>
      <c r="FC58" s="78"/>
      <c r="FD58" s="78"/>
      <c r="FE58" s="78"/>
      <c r="FF58" s="78"/>
      <c r="FG58" s="78"/>
      <c r="FH58" s="78"/>
      <c r="FI58" s="78"/>
      <c r="FJ58" s="78"/>
      <c r="FK58" s="78"/>
      <c r="FL58" s="78"/>
      <c r="FM58" s="78"/>
      <c r="FN58" s="78"/>
      <c r="FO58" s="78"/>
      <c r="FP58" s="78"/>
      <c r="FQ58" s="78"/>
      <c r="FR58" s="78"/>
      <c r="FS58" s="78"/>
      <c r="FT58" s="78"/>
      <c r="FU58" s="78"/>
      <c r="FV58" s="78"/>
      <c r="FW58" s="78"/>
      <c r="FX58" s="78"/>
      <c r="FY58" s="78"/>
      <c r="FZ58" s="78"/>
      <c r="GA58" s="78"/>
      <c r="GB58" s="78"/>
      <c r="GC58" s="78"/>
      <c r="GD58" s="78"/>
      <c r="GE58" s="78"/>
      <c r="GF58" s="78"/>
      <c r="GG58" s="78"/>
      <c r="GH58" s="78"/>
      <c r="GI58" s="78"/>
      <c r="GJ58" s="78"/>
      <c r="GK58" s="78"/>
      <c r="GL58" s="78"/>
      <c r="GM58" s="78"/>
      <c r="GN58" s="78"/>
      <c r="GO58" s="78"/>
      <c r="GP58" s="78"/>
      <c r="GQ58" s="78"/>
      <c r="GR58" s="78"/>
      <c r="GS58" s="78"/>
      <c r="GT58" s="78"/>
      <c r="GU58" s="78"/>
      <c r="GV58" s="78"/>
      <c r="GW58" s="78"/>
      <c r="GX58" s="78"/>
      <c r="GY58" s="78"/>
      <c r="GZ58" s="78"/>
      <c r="HA58" s="78"/>
      <c r="HB58" s="78"/>
      <c r="HC58" s="78"/>
      <c r="HD58" s="78"/>
      <c r="HE58" s="78"/>
      <c r="HF58" s="78"/>
      <c r="HG58" s="78"/>
      <c r="HH58" s="78"/>
      <c r="HI58" s="78"/>
      <c r="HJ58" s="78"/>
      <c r="HK58" s="78"/>
      <c r="HL58" s="78"/>
      <c r="HM58" s="78"/>
      <c r="HN58" s="78"/>
      <c r="HO58" s="78"/>
      <c r="HP58" s="78"/>
      <c r="HQ58" s="78"/>
      <c r="HR58" s="78"/>
      <c r="HS58" s="78"/>
      <c r="HT58" s="78"/>
      <c r="HU58" s="78"/>
      <c r="HV58" s="78"/>
      <c r="HW58" s="78"/>
      <c r="HX58" s="78"/>
      <c r="HY58" s="78"/>
      <c r="HZ58" s="78"/>
      <c r="IA58" s="78"/>
      <c r="IB58" s="78"/>
      <c r="IC58" s="78"/>
      <c r="ID58" s="78"/>
      <c r="IE58" s="78"/>
      <c r="IF58" s="78"/>
      <c r="IG58" s="78"/>
      <c r="IH58" s="78"/>
      <c r="II58" s="78"/>
      <c r="IJ58" s="78"/>
      <c r="IK58" s="78"/>
      <c r="IL58" s="78"/>
      <c r="IM58" s="78"/>
      <c r="IN58" s="78"/>
      <c r="IO58" s="78"/>
      <c r="IP58" s="78"/>
      <c r="IQ58" s="78"/>
      <c r="IR58" s="78"/>
      <c r="IS58" s="78"/>
      <c r="IT58" s="78"/>
      <c r="IU58" s="78"/>
      <c r="IV58" s="78"/>
    </row>
    <row r="59" spans="1:256">
      <c r="A59" s="57" t="s">
        <v>517</v>
      </c>
      <c r="B59" s="97">
        <v>5</v>
      </c>
      <c r="C59" s="92">
        <v>4000</v>
      </c>
      <c r="D59" s="86">
        <f t="shared" si="7"/>
        <v>20000</v>
      </c>
      <c r="E59" s="85" t="s">
        <v>467</v>
      </c>
      <c r="F59" s="88"/>
      <c r="G59" s="90"/>
      <c r="H59" s="90"/>
      <c r="I59" s="90"/>
      <c r="J59" s="90"/>
      <c r="K59" s="88"/>
      <c r="L59" s="86"/>
      <c r="M59" s="90"/>
      <c r="N59" s="90"/>
      <c r="O59" s="91">
        <f t="shared" si="8"/>
        <v>240000</v>
      </c>
      <c r="P59" s="88"/>
      <c r="Q59" s="88"/>
      <c r="R59" s="88"/>
      <c r="S59" s="88"/>
      <c r="T59" s="88"/>
      <c r="U59" s="88"/>
      <c r="V59" s="78"/>
      <c r="W59" s="78"/>
      <c r="X59" s="78"/>
      <c r="Y59" s="78"/>
      <c r="Z59" s="78"/>
      <c r="AA59" s="7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  <c r="AZ59" s="78"/>
      <c r="BA59" s="78"/>
      <c r="BB59" s="78"/>
      <c r="BC59" s="78"/>
      <c r="BD59" s="78"/>
      <c r="BE59" s="78"/>
      <c r="BF59" s="78"/>
      <c r="BG59" s="78"/>
      <c r="BH59" s="78"/>
      <c r="BI59" s="78"/>
      <c r="BJ59" s="78"/>
      <c r="BK59" s="78"/>
      <c r="BL59" s="78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8"/>
      <c r="CA59" s="78"/>
      <c r="CB59" s="78"/>
      <c r="CC59" s="78"/>
      <c r="CD59" s="78"/>
      <c r="CE59" s="78"/>
      <c r="CF59" s="78"/>
      <c r="CG59" s="78"/>
      <c r="CH59" s="78"/>
      <c r="CI59" s="78"/>
      <c r="CJ59" s="78"/>
      <c r="CK59" s="78"/>
      <c r="CL59" s="78"/>
      <c r="CM59" s="78"/>
      <c r="CN59" s="78"/>
      <c r="CO59" s="78"/>
      <c r="CP59" s="78"/>
      <c r="CQ59" s="78"/>
      <c r="CR59" s="78"/>
      <c r="CS59" s="78"/>
      <c r="CT59" s="78"/>
      <c r="CU59" s="78"/>
      <c r="CV59" s="78"/>
      <c r="CW59" s="78"/>
      <c r="CX59" s="78"/>
      <c r="CY59" s="78"/>
      <c r="CZ59" s="78"/>
      <c r="DA59" s="78"/>
      <c r="DB59" s="78"/>
      <c r="DC59" s="78"/>
      <c r="DD59" s="78"/>
      <c r="DE59" s="78"/>
      <c r="DF59" s="78"/>
      <c r="DG59" s="78"/>
      <c r="DH59" s="78"/>
      <c r="DI59" s="78"/>
      <c r="DJ59" s="78"/>
      <c r="DK59" s="78"/>
      <c r="DL59" s="78"/>
      <c r="DM59" s="78"/>
      <c r="DN59" s="78"/>
      <c r="DO59" s="78"/>
      <c r="DP59" s="78"/>
      <c r="DQ59" s="78"/>
      <c r="DR59" s="78"/>
      <c r="DS59" s="78"/>
      <c r="DT59" s="78"/>
      <c r="DU59" s="78"/>
      <c r="DV59" s="78"/>
      <c r="DW59" s="78"/>
      <c r="DX59" s="78"/>
      <c r="DY59" s="78"/>
      <c r="DZ59" s="78"/>
      <c r="EA59" s="78"/>
      <c r="EB59" s="78"/>
      <c r="EC59" s="78"/>
      <c r="ED59" s="78"/>
      <c r="EE59" s="78"/>
      <c r="EF59" s="78"/>
      <c r="EG59" s="78"/>
      <c r="EH59" s="78"/>
      <c r="EI59" s="78"/>
      <c r="EJ59" s="78"/>
      <c r="EK59" s="78"/>
      <c r="EL59" s="78"/>
      <c r="EM59" s="78"/>
      <c r="EN59" s="78"/>
      <c r="EO59" s="78"/>
      <c r="EP59" s="78"/>
      <c r="EQ59" s="78"/>
      <c r="ER59" s="78"/>
      <c r="ES59" s="78"/>
      <c r="ET59" s="78"/>
      <c r="EU59" s="78"/>
      <c r="EV59" s="78"/>
      <c r="EW59" s="78"/>
      <c r="EX59" s="78"/>
      <c r="EY59" s="78"/>
      <c r="EZ59" s="78"/>
      <c r="FA59" s="78"/>
      <c r="FB59" s="78"/>
      <c r="FC59" s="78"/>
      <c r="FD59" s="78"/>
      <c r="FE59" s="78"/>
      <c r="FF59" s="78"/>
      <c r="FG59" s="78"/>
      <c r="FH59" s="78"/>
      <c r="FI59" s="78"/>
      <c r="FJ59" s="78"/>
      <c r="FK59" s="78"/>
      <c r="FL59" s="78"/>
      <c r="FM59" s="78"/>
      <c r="FN59" s="78"/>
      <c r="FO59" s="78"/>
      <c r="FP59" s="78"/>
      <c r="FQ59" s="78"/>
      <c r="FR59" s="78"/>
      <c r="FS59" s="78"/>
      <c r="FT59" s="78"/>
      <c r="FU59" s="78"/>
      <c r="FV59" s="78"/>
      <c r="FW59" s="78"/>
      <c r="FX59" s="78"/>
      <c r="FY59" s="78"/>
      <c r="FZ59" s="78"/>
      <c r="GA59" s="78"/>
      <c r="GB59" s="78"/>
      <c r="GC59" s="78"/>
      <c r="GD59" s="78"/>
      <c r="GE59" s="78"/>
      <c r="GF59" s="78"/>
      <c r="GG59" s="78"/>
      <c r="GH59" s="78"/>
      <c r="GI59" s="78"/>
      <c r="GJ59" s="78"/>
      <c r="GK59" s="78"/>
      <c r="GL59" s="78"/>
      <c r="GM59" s="78"/>
      <c r="GN59" s="78"/>
      <c r="GO59" s="78"/>
      <c r="GP59" s="78"/>
      <c r="GQ59" s="78"/>
      <c r="GR59" s="78"/>
      <c r="GS59" s="78"/>
      <c r="GT59" s="78"/>
      <c r="GU59" s="78"/>
      <c r="GV59" s="78"/>
      <c r="GW59" s="78"/>
      <c r="GX59" s="78"/>
      <c r="GY59" s="78"/>
      <c r="GZ59" s="78"/>
      <c r="HA59" s="78"/>
      <c r="HB59" s="78"/>
      <c r="HC59" s="78"/>
      <c r="HD59" s="78"/>
      <c r="HE59" s="78"/>
      <c r="HF59" s="78"/>
      <c r="HG59" s="78"/>
      <c r="HH59" s="78"/>
      <c r="HI59" s="78"/>
      <c r="HJ59" s="78"/>
      <c r="HK59" s="78"/>
      <c r="HL59" s="78"/>
      <c r="HM59" s="78"/>
      <c r="HN59" s="78"/>
      <c r="HO59" s="78"/>
      <c r="HP59" s="78"/>
      <c r="HQ59" s="78"/>
      <c r="HR59" s="78"/>
      <c r="HS59" s="78"/>
      <c r="HT59" s="78"/>
      <c r="HU59" s="78"/>
      <c r="HV59" s="78"/>
      <c r="HW59" s="78"/>
      <c r="HX59" s="78"/>
      <c r="HY59" s="78"/>
      <c r="HZ59" s="78"/>
      <c r="IA59" s="78"/>
      <c r="IB59" s="78"/>
      <c r="IC59" s="78"/>
      <c r="ID59" s="78"/>
      <c r="IE59" s="78"/>
      <c r="IF59" s="78"/>
      <c r="IG59" s="78"/>
      <c r="IH59" s="78"/>
      <c r="II59" s="78"/>
      <c r="IJ59" s="78"/>
      <c r="IK59" s="78"/>
      <c r="IL59" s="78"/>
      <c r="IM59" s="78"/>
      <c r="IN59" s="78"/>
      <c r="IO59" s="78"/>
      <c r="IP59" s="78"/>
      <c r="IQ59" s="78"/>
      <c r="IR59" s="78"/>
      <c r="IS59" s="78"/>
      <c r="IT59" s="78"/>
      <c r="IU59" s="78"/>
      <c r="IV59" s="78"/>
    </row>
    <row r="60" spans="1:256">
      <c r="A60" s="57" t="s">
        <v>518</v>
      </c>
      <c r="B60" s="97">
        <v>5</v>
      </c>
      <c r="C60" s="92">
        <v>5000</v>
      </c>
      <c r="D60" s="86">
        <f t="shared" si="7"/>
        <v>25000</v>
      </c>
      <c r="E60" s="85" t="s">
        <v>467</v>
      </c>
      <c r="F60" s="88"/>
      <c r="G60" s="90"/>
      <c r="H60" s="90"/>
      <c r="I60" s="90"/>
      <c r="J60" s="90"/>
      <c r="K60" s="88"/>
      <c r="L60" s="86"/>
      <c r="M60" s="90"/>
      <c r="N60" s="90"/>
      <c r="O60" s="91">
        <f t="shared" si="8"/>
        <v>300000</v>
      </c>
      <c r="P60" s="88"/>
      <c r="Q60" s="88"/>
      <c r="R60" s="88"/>
      <c r="S60" s="88"/>
      <c r="T60" s="88"/>
      <c r="U60" s="88"/>
      <c r="V60" s="78"/>
      <c r="W60" s="78"/>
      <c r="X60" s="78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  <c r="AM60" s="78"/>
      <c r="AN60" s="78"/>
      <c r="AO60" s="78"/>
      <c r="AP60" s="78"/>
      <c r="AQ60" s="78"/>
      <c r="AR60" s="78"/>
      <c r="AS60" s="78"/>
      <c r="AT60" s="78"/>
      <c r="AU60" s="78"/>
      <c r="AV60" s="78"/>
      <c r="AW60" s="78"/>
      <c r="AX60" s="78"/>
      <c r="AY60" s="78"/>
      <c r="AZ60" s="78"/>
      <c r="BA60" s="78"/>
      <c r="BB60" s="78"/>
      <c r="BC60" s="78"/>
      <c r="BD60" s="78"/>
      <c r="BE60" s="78"/>
      <c r="BF60" s="78"/>
      <c r="BG60" s="78"/>
      <c r="BH60" s="78"/>
      <c r="BI60" s="78"/>
      <c r="BJ60" s="78"/>
      <c r="BK60" s="78"/>
      <c r="BL60" s="78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8"/>
      <c r="CA60" s="78"/>
      <c r="CB60" s="78"/>
      <c r="CC60" s="78"/>
      <c r="CD60" s="78"/>
      <c r="CE60" s="78"/>
      <c r="CF60" s="78"/>
      <c r="CG60" s="78"/>
      <c r="CH60" s="78"/>
      <c r="CI60" s="78"/>
      <c r="CJ60" s="78"/>
      <c r="CK60" s="78"/>
      <c r="CL60" s="78"/>
      <c r="CM60" s="78"/>
      <c r="CN60" s="78"/>
      <c r="CO60" s="78"/>
      <c r="CP60" s="78"/>
      <c r="CQ60" s="78"/>
      <c r="CR60" s="78"/>
      <c r="CS60" s="78"/>
      <c r="CT60" s="78"/>
      <c r="CU60" s="78"/>
      <c r="CV60" s="78"/>
      <c r="CW60" s="78"/>
      <c r="CX60" s="78"/>
      <c r="CY60" s="78"/>
      <c r="CZ60" s="78"/>
      <c r="DA60" s="78"/>
      <c r="DB60" s="78"/>
      <c r="DC60" s="78"/>
      <c r="DD60" s="78"/>
      <c r="DE60" s="78"/>
      <c r="DF60" s="78"/>
      <c r="DG60" s="78"/>
      <c r="DH60" s="78"/>
      <c r="DI60" s="78"/>
      <c r="DJ60" s="78"/>
      <c r="DK60" s="78"/>
      <c r="DL60" s="78"/>
      <c r="DM60" s="78"/>
      <c r="DN60" s="78"/>
      <c r="DO60" s="78"/>
      <c r="DP60" s="78"/>
      <c r="DQ60" s="78"/>
      <c r="DR60" s="78"/>
      <c r="DS60" s="78"/>
      <c r="DT60" s="78"/>
      <c r="DU60" s="78"/>
      <c r="DV60" s="78"/>
      <c r="DW60" s="78"/>
      <c r="DX60" s="78"/>
      <c r="DY60" s="78"/>
      <c r="DZ60" s="78"/>
      <c r="EA60" s="78"/>
      <c r="EB60" s="78"/>
      <c r="EC60" s="78"/>
      <c r="ED60" s="78"/>
      <c r="EE60" s="78"/>
      <c r="EF60" s="78"/>
      <c r="EG60" s="78"/>
      <c r="EH60" s="78"/>
      <c r="EI60" s="78"/>
      <c r="EJ60" s="78"/>
      <c r="EK60" s="78"/>
      <c r="EL60" s="78"/>
      <c r="EM60" s="78"/>
      <c r="EN60" s="78"/>
      <c r="EO60" s="78"/>
      <c r="EP60" s="78"/>
      <c r="EQ60" s="78"/>
      <c r="ER60" s="78"/>
      <c r="ES60" s="78"/>
      <c r="ET60" s="78"/>
      <c r="EU60" s="78"/>
      <c r="EV60" s="78"/>
      <c r="EW60" s="78"/>
      <c r="EX60" s="78"/>
      <c r="EY60" s="78"/>
      <c r="EZ60" s="78"/>
      <c r="FA60" s="78"/>
      <c r="FB60" s="78"/>
      <c r="FC60" s="78"/>
      <c r="FD60" s="78"/>
      <c r="FE60" s="78"/>
      <c r="FF60" s="78"/>
      <c r="FG60" s="78"/>
      <c r="FH60" s="78"/>
      <c r="FI60" s="78"/>
      <c r="FJ60" s="78"/>
      <c r="FK60" s="78"/>
      <c r="FL60" s="78"/>
      <c r="FM60" s="78"/>
      <c r="FN60" s="78"/>
      <c r="FO60" s="78"/>
      <c r="FP60" s="78"/>
      <c r="FQ60" s="78"/>
      <c r="FR60" s="78"/>
      <c r="FS60" s="78"/>
      <c r="FT60" s="78"/>
      <c r="FU60" s="78"/>
      <c r="FV60" s="78"/>
      <c r="FW60" s="78"/>
      <c r="FX60" s="78"/>
      <c r="FY60" s="78"/>
      <c r="FZ60" s="78"/>
      <c r="GA60" s="78"/>
      <c r="GB60" s="78"/>
      <c r="GC60" s="78"/>
      <c r="GD60" s="78"/>
      <c r="GE60" s="78"/>
      <c r="GF60" s="78"/>
      <c r="GG60" s="78"/>
      <c r="GH60" s="78"/>
      <c r="GI60" s="78"/>
      <c r="GJ60" s="78"/>
      <c r="GK60" s="78"/>
      <c r="GL60" s="78"/>
      <c r="GM60" s="78"/>
      <c r="GN60" s="78"/>
      <c r="GO60" s="78"/>
      <c r="GP60" s="78"/>
      <c r="GQ60" s="78"/>
      <c r="GR60" s="78"/>
      <c r="GS60" s="78"/>
      <c r="GT60" s="78"/>
      <c r="GU60" s="78"/>
      <c r="GV60" s="78"/>
      <c r="GW60" s="78"/>
      <c r="GX60" s="78"/>
      <c r="GY60" s="78"/>
      <c r="GZ60" s="78"/>
      <c r="HA60" s="78"/>
      <c r="HB60" s="78"/>
      <c r="HC60" s="78"/>
      <c r="HD60" s="78"/>
      <c r="HE60" s="78"/>
      <c r="HF60" s="78"/>
      <c r="HG60" s="78"/>
      <c r="HH60" s="78"/>
      <c r="HI60" s="78"/>
      <c r="HJ60" s="78"/>
      <c r="HK60" s="78"/>
      <c r="HL60" s="78"/>
      <c r="HM60" s="78"/>
      <c r="HN60" s="78"/>
      <c r="HO60" s="78"/>
      <c r="HP60" s="78"/>
      <c r="HQ60" s="78"/>
      <c r="HR60" s="78"/>
      <c r="HS60" s="78"/>
      <c r="HT60" s="78"/>
      <c r="HU60" s="78"/>
      <c r="HV60" s="78"/>
      <c r="HW60" s="78"/>
      <c r="HX60" s="78"/>
      <c r="HY60" s="78"/>
      <c r="HZ60" s="78"/>
      <c r="IA60" s="78"/>
      <c r="IB60" s="78"/>
      <c r="IC60" s="78"/>
      <c r="ID60" s="78"/>
      <c r="IE60" s="78"/>
      <c r="IF60" s="78"/>
      <c r="IG60" s="78"/>
      <c r="IH60" s="78"/>
      <c r="II60" s="78"/>
      <c r="IJ60" s="78"/>
      <c r="IK60" s="78"/>
      <c r="IL60" s="78"/>
      <c r="IM60" s="78"/>
      <c r="IN60" s="78"/>
      <c r="IO60" s="78"/>
      <c r="IP60" s="78"/>
      <c r="IQ60" s="78"/>
      <c r="IR60" s="78"/>
      <c r="IS60" s="78"/>
      <c r="IT60" s="78"/>
      <c r="IU60" s="78"/>
      <c r="IV60" s="78"/>
    </row>
    <row r="61" spans="1:256">
      <c r="A61" s="98" t="s">
        <v>519</v>
      </c>
      <c r="B61" s="97">
        <v>1</v>
      </c>
      <c r="C61" s="92">
        <v>5000</v>
      </c>
      <c r="D61" s="86">
        <f t="shared" si="7"/>
        <v>5000</v>
      </c>
      <c r="E61" s="85" t="s">
        <v>467</v>
      </c>
      <c r="F61" s="88"/>
      <c r="G61" s="90"/>
      <c r="H61" s="90"/>
      <c r="I61" s="90"/>
      <c r="J61" s="90"/>
      <c r="K61" s="88"/>
      <c r="L61" s="86"/>
      <c r="M61" s="90"/>
      <c r="N61" s="90"/>
      <c r="O61" s="91">
        <f t="shared" si="8"/>
        <v>60000</v>
      </c>
      <c r="P61" s="88"/>
      <c r="Q61" s="88"/>
      <c r="R61" s="88"/>
      <c r="S61" s="88"/>
      <c r="T61" s="88"/>
      <c r="U61" s="88"/>
      <c r="V61" s="78"/>
      <c r="W61" s="78"/>
      <c r="X61" s="78"/>
      <c r="Y61" s="78"/>
      <c r="Z61" s="78"/>
      <c r="AA61" s="78"/>
      <c r="AB61" s="78"/>
      <c r="AC61" s="78"/>
      <c r="AD61" s="78"/>
      <c r="AE61" s="78"/>
      <c r="AF61" s="78"/>
      <c r="AG61" s="78"/>
      <c r="AH61" s="78"/>
      <c r="AI61" s="78"/>
      <c r="AJ61" s="78"/>
      <c r="AK61" s="78"/>
      <c r="AL61" s="78"/>
      <c r="AM61" s="78"/>
      <c r="AN61" s="78"/>
      <c r="AO61" s="78"/>
      <c r="AP61" s="78"/>
      <c r="AQ61" s="78"/>
      <c r="AR61" s="78"/>
      <c r="AS61" s="78"/>
      <c r="AT61" s="78"/>
      <c r="AU61" s="78"/>
      <c r="AV61" s="78"/>
      <c r="AW61" s="78"/>
      <c r="AX61" s="78"/>
      <c r="AY61" s="78"/>
      <c r="AZ61" s="78"/>
      <c r="BA61" s="78"/>
      <c r="BB61" s="78"/>
      <c r="BC61" s="78"/>
      <c r="BD61" s="78"/>
      <c r="BE61" s="78"/>
      <c r="BF61" s="78"/>
      <c r="BG61" s="78"/>
      <c r="BH61" s="78"/>
      <c r="BI61" s="78"/>
      <c r="BJ61" s="78"/>
      <c r="BK61" s="78"/>
      <c r="BL61" s="78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8"/>
      <c r="CA61" s="78"/>
      <c r="CB61" s="78"/>
      <c r="CC61" s="78"/>
      <c r="CD61" s="78"/>
      <c r="CE61" s="78"/>
      <c r="CF61" s="78"/>
      <c r="CG61" s="78"/>
      <c r="CH61" s="78"/>
      <c r="CI61" s="78"/>
      <c r="CJ61" s="78"/>
      <c r="CK61" s="78"/>
      <c r="CL61" s="78"/>
      <c r="CM61" s="78"/>
      <c r="CN61" s="78"/>
      <c r="CO61" s="78"/>
      <c r="CP61" s="78"/>
      <c r="CQ61" s="78"/>
      <c r="CR61" s="78"/>
      <c r="CS61" s="78"/>
      <c r="CT61" s="78"/>
      <c r="CU61" s="78"/>
      <c r="CV61" s="78"/>
      <c r="CW61" s="78"/>
      <c r="CX61" s="78"/>
      <c r="CY61" s="78"/>
      <c r="CZ61" s="78"/>
      <c r="DA61" s="78"/>
      <c r="DB61" s="78"/>
      <c r="DC61" s="78"/>
      <c r="DD61" s="78"/>
      <c r="DE61" s="78"/>
      <c r="DF61" s="78"/>
      <c r="DG61" s="78"/>
      <c r="DH61" s="78"/>
      <c r="DI61" s="78"/>
      <c r="DJ61" s="78"/>
      <c r="DK61" s="78"/>
      <c r="DL61" s="78"/>
      <c r="DM61" s="78"/>
      <c r="DN61" s="78"/>
      <c r="DO61" s="78"/>
      <c r="DP61" s="78"/>
      <c r="DQ61" s="78"/>
      <c r="DR61" s="78"/>
      <c r="DS61" s="78"/>
      <c r="DT61" s="78"/>
      <c r="DU61" s="78"/>
      <c r="DV61" s="78"/>
      <c r="DW61" s="78"/>
      <c r="DX61" s="78"/>
      <c r="DY61" s="78"/>
      <c r="DZ61" s="78"/>
      <c r="EA61" s="78"/>
      <c r="EB61" s="78"/>
      <c r="EC61" s="78"/>
      <c r="ED61" s="78"/>
      <c r="EE61" s="78"/>
      <c r="EF61" s="78"/>
      <c r="EG61" s="78"/>
      <c r="EH61" s="78"/>
      <c r="EI61" s="78"/>
      <c r="EJ61" s="78"/>
      <c r="EK61" s="78"/>
      <c r="EL61" s="78"/>
      <c r="EM61" s="78"/>
      <c r="EN61" s="78"/>
      <c r="EO61" s="78"/>
      <c r="EP61" s="78"/>
      <c r="EQ61" s="78"/>
      <c r="ER61" s="78"/>
      <c r="ES61" s="78"/>
      <c r="ET61" s="78"/>
      <c r="EU61" s="78"/>
      <c r="EV61" s="78"/>
      <c r="EW61" s="78"/>
      <c r="EX61" s="78"/>
      <c r="EY61" s="78"/>
      <c r="EZ61" s="78"/>
      <c r="FA61" s="78"/>
      <c r="FB61" s="78"/>
      <c r="FC61" s="78"/>
      <c r="FD61" s="78"/>
      <c r="FE61" s="78"/>
      <c r="FF61" s="78"/>
      <c r="FG61" s="78"/>
      <c r="FH61" s="78"/>
      <c r="FI61" s="78"/>
      <c r="FJ61" s="78"/>
      <c r="FK61" s="78"/>
      <c r="FL61" s="78"/>
      <c r="FM61" s="78"/>
      <c r="FN61" s="78"/>
      <c r="FO61" s="78"/>
      <c r="FP61" s="78"/>
      <c r="FQ61" s="78"/>
      <c r="FR61" s="78"/>
      <c r="FS61" s="78"/>
      <c r="FT61" s="78"/>
      <c r="FU61" s="78"/>
      <c r="FV61" s="78"/>
      <c r="FW61" s="78"/>
      <c r="FX61" s="78"/>
      <c r="FY61" s="78"/>
      <c r="FZ61" s="78"/>
      <c r="GA61" s="78"/>
      <c r="GB61" s="78"/>
      <c r="GC61" s="78"/>
      <c r="GD61" s="78"/>
      <c r="GE61" s="78"/>
      <c r="GF61" s="78"/>
      <c r="GG61" s="78"/>
      <c r="GH61" s="78"/>
      <c r="GI61" s="78"/>
      <c r="GJ61" s="78"/>
      <c r="GK61" s="78"/>
      <c r="GL61" s="78"/>
      <c r="GM61" s="78"/>
      <c r="GN61" s="78"/>
      <c r="GO61" s="78"/>
      <c r="GP61" s="78"/>
      <c r="GQ61" s="78"/>
      <c r="GR61" s="78"/>
      <c r="GS61" s="78"/>
      <c r="GT61" s="78"/>
      <c r="GU61" s="78"/>
      <c r="GV61" s="78"/>
      <c r="GW61" s="78"/>
      <c r="GX61" s="78"/>
      <c r="GY61" s="78"/>
      <c r="GZ61" s="78"/>
      <c r="HA61" s="78"/>
      <c r="HB61" s="78"/>
      <c r="HC61" s="78"/>
      <c r="HD61" s="78"/>
      <c r="HE61" s="78"/>
      <c r="HF61" s="78"/>
      <c r="HG61" s="78"/>
      <c r="HH61" s="78"/>
      <c r="HI61" s="78"/>
      <c r="HJ61" s="78"/>
      <c r="HK61" s="78"/>
      <c r="HL61" s="78"/>
      <c r="HM61" s="78"/>
      <c r="HN61" s="78"/>
      <c r="HO61" s="78"/>
      <c r="HP61" s="78"/>
      <c r="HQ61" s="78"/>
      <c r="HR61" s="78"/>
      <c r="HS61" s="78"/>
      <c r="HT61" s="78"/>
      <c r="HU61" s="78"/>
      <c r="HV61" s="78"/>
      <c r="HW61" s="78"/>
      <c r="HX61" s="78"/>
      <c r="HY61" s="78"/>
      <c r="HZ61" s="78"/>
      <c r="IA61" s="78"/>
      <c r="IB61" s="78"/>
      <c r="IC61" s="78"/>
      <c r="ID61" s="78"/>
      <c r="IE61" s="78"/>
      <c r="IF61" s="78"/>
      <c r="IG61" s="78"/>
      <c r="IH61" s="78"/>
      <c r="II61" s="78"/>
      <c r="IJ61" s="78"/>
      <c r="IK61" s="78"/>
      <c r="IL61" s="78"/>
      <c r="IM61" s="78"/>
      <c r="IN61" s="78"/>
      <c r="IO61" s="78"/>
      <c r="IP61" s="78"/>
      <c r="IQ61" s="78"/>
      <c r="IR61" s="78"/>
      <c r="IS61" s="78"/>
      <c r="IT61" s="78"/>
      <c r="IU61" s="78"/>
      <c r="IV61" s="78"/>
    </row>
    <row r="62" spans="1:256">
      <c r="A62" s="98" t="s">
        <v>520</v>
      </c>
      <c r="B62" s="97">
        <v>4</v>
      </c>
      <c r="C62" s="92">
        <v>7000</v>
      </c>
      <c r="D62" s="86">
        <f t="shared" si="7"/>
        <v>28000</v>
      </c>
      <c r="E62" s="85" t="s">
        <v>467</v>
      </c>
      <c r="F62" s="88"/>
      <c r="G62" s="90"/>
      <c r="H62" s="90"/>
      <c r="I62" s="90"/>
      <c r="J62" s="90"/>
      <c r="K62" s="88"/>
      <c r="L62" s="86"/>
      <c r="M62" s="90"/>
      <c r="N62" s="90"/>
      <c r="O62" s="91">
        <f t="shared" si="8"/>
        <v>336000</v>
      </c>
      <c r="P62" s="88"/>
      <c r="Q62" s="88"/>
      <c r="R62" s="88"/>
      <c r="S62" s="88"/>
      <c r="T62" s="88"/>
      <c r="U62" s="8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78"/>
      <c r="AQ62" s="78"/>
      <c r="AR62" s="78"/>
      <c r="AS62" s="78"/>
      <c r="AT62" s="78"/>
      <c r="AU62" s="78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78"/>
      <c r="BL62" s="78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8"/>
      <c r="CA62" s="78"/>
      <c r="CB62" s="78"/>
      <c r="CC62" s="78"/>
      <c r="CD62" s="78"/>
      <c r="CE62" s="78"/>
      <c r="CF62" s="78"/>
      <c r="CG62" s="78"/>
      <c r="CH62" s="78"/>
      <c r="CI62" s="78"/>
      <c r="CJ62" s="78"/>
      <c r="CK62" s="78"/>
      <c r="CL62" s="78"/>
      <c r="CM62" s="78"/>
      <c r="CN62" s="78"/>
      <c r="CO62" s="78"/>
      <c r="CP62" s="78"/>
      <c r="CQ62" s="78"/>
      <c r="CR62" s="78"/>
      <c r="CS62" s="78"/>
      <c r="CT62" s="78"/>
      <c r="CU62" s="78"/>
      <c r="CV62" s="78"/>
      <c r="CW62" s="78"/>
      <c r="CX62" s="78"/>
      <c r="CY62" s="78"/>
      <c r="CZ62" s="78"/>
      <c r="DA62" s="78"/>
      <c r="DB62" s="78"/>
      <c r="DC62" s="78"/>
      <c r="DD62" s="78"/>
      <c r="DE62" s="78"/>
      <c r="DF62" s="78"/>
      <c r="DG62" s="78"/>
      <c r="DH62" s="78"/>
      <c r="DI62" s="78"/>
      <c r="DJ62" s="78"/>
      <c r="DK62" s="78"/>
      <c r="DL62" s="78"/>
      <c r="DM62" s="78"/>
      <c r="DN62" s="78"/>
      <c r="DO62" s="78"/>
      <c r="DP62" s="78"/>
      <c r="DQ62" s="78"/>
      <c r="DR62" s="78"/>
      <c r="DS62" s="78"/>
      <c r="DT62" s="78"/>
      <c r="DU62" s="78"/>
      <c r="DV62" s="78"/>
      <c r="DW62" s="78"/>
      <c r="DX62" s="78"/>
      <c r="DY62" s="78"/>
      <c r="DZ62" s="78"/>
      <c r="EA62" s="78"/>
      <c r="EB62" s="78"/>
      <c r="EC62" s="78"/>
      <c r="ED62" s="78"/>
      <c r="EE62" s="78"/>
      <c r="EF62" s="78"/>
      <c r="EG62" s="78"/>
      <c r="EH62" s="78"/>
      <c r="EI62" s="78"/>
      <c r="EJ62" s="78"/>
      <c r="EK62" s="78"/>
      <c r="EL62" s="78"/>
      <c r="EM62" s="78"/>
      <c r="EN62" s="78"/>
      <c r="EO62" s="78"/>
      <c r="EP62" s="78"/>
      <c r="EQ62" s="78"/>
      <c r="ER62" s="78"/>
      <c r="ES62" s="78"/>
      <c r="ET62" s="78"/>
      <c r="EU62" s="78"/>
      <c r="EV62" s="78"/>
      <c r="EW62" s="78"/>
      <c r="EX62" s="78"/>
      <c r="EY62" s="78"/>
      <c r="EZ62" s="78"/>
      <c r="FA62" s="78"/>
      <c r="FB62" s="78"/>
      <c r="FC62" s="78"/>
      <c r="FD62" s="78"/>
      <c r="FE62" s="78"/>
      <c r="FF62" s="78"/>
      <c r="FG62" s="78"/>
      <c r="FH62" s="78"/>
      <c r="FI62" s="78"/>
      <c r="FJ62" s="78"/>
      <c r="FK62" s="78"/>
      <c r="FL62" s="78"/>
      <c r="FM62" s="78"/>
      <c r="FN62" s="78"/>
      <c r="FO62" s="78"/>
      <c r="FP62" s="78"/>
      <c r="FQ62" s="78"/>
      <c r="FR62" s="78"/>
      <c r="FS62" s="78"/>
      <c r="FT62" s="78"/>
      <c r="FU62" s="78"/>
      <c r="FV62" s="78"/>
      <c r="FW62" s="78"/>
      <c r="FX62" s="78"/>
      <c r="FY62" s="78"/>
      <c r="FZ62" s="78"/>
      <c r="GA62" s="78"/>
      <c r="GB62" s="78"/>
      <c r="GC62" s="78"/>
      <c r="GD62" s="78"/>
      <c r="GE62" s="78"/>
      <c r="GF62" s="78"/>
      <c r="GG62" s="78"/>
      <c r="GH62" s="78"/>
      <c r="GI62" s="78"/>
      <c r="GJ62" s="78"/>
      <c r="GK62" s="78"/>
      <c r="GL62" s="78"/>
      <c r="GM62" s="78"/>
      <c r="GN62" s="78"/>
      <c r="GO62" s="78"/>
      <c r="GP62" s="78"/>
      <c r="GQ62" s="78"/>
      <c r="GR62" s="78"/>
      <c r="GS62" s="78"/>
      <c r="GT62" s="78"/>
      <c r="GU62" s="78"/>
      <c r="GV62" s="78"/>
      <c r="GW62" s="78"/>
      <c r="GX62" s="78"/>
      <c r="GY62" s="78"/>
      <c r="GZ62" s="78"/>
      <c r="HA62" s="78"/>
      <c r="HB62" s="78"/>
      <c r="HC62" s="78"/>
      <c r="HD62" s="78"/>
      <c r="HE62" s="78"/>
      <c r="HF62" s="78"/>
      <c r="HG62" s="78"/>
      <c r="HH62" s="78"/>
      <c r="HI62" s="78"/>
      <c r="HJ62" s="78"/>
      <c r="HK62" s="78"/>
      <c r="HL62" s="78"/>
      <c r="HM62" s="78"/>
      <c r="HN62" s="78"/>
      <c r="HO62" s="78"/>
      <c r="HP62" s="78"/>
      <c r="HQ62" s="78"/>
      <c r="HR62" s="78"/>
      <c r="HS62" s="78"/>
      <c r="HT62" s="78"/>
      <c r="HU62" s="78"/>
      <c r="HV62" s="78"/>
      <c r="HW62" s="78"/>
      <c r="HX62" s="78"/>
      <c r="HY62" s="78"/>
      <c r="HZ62" s="78"/>
      <c r="IA62" s="78"/>
      <c r="IB62" s="78"/>
      <c r="IC62" s="78"/>
      <c r="ID62" s="78"/>
      <c r="IE62" s="78"/>
      <c r="IF62" s="78"/>
      <c r="IG62" s="78"/>
      <c r="IH62" s="78"/>
      <c r="II62" s="78"/>
      <c r="IJ62" s="78"/>
      <c r="IK62" s="78"/>
      <c r="IL62" s="78"/>
      <c r="IM62" s="78"/>
      <c r="IN62" s="78"/>
      <c r="IO62" s="78"/>
      <c r="IP62" s="78"/>
      <c r="IQ62" s="78"/>
      <c r="IR62" s="78"/>
      <c r="IS62" s="78"/>
      <c r="IT62" s="78"/>
      <c r="IU62" s="78"/>
      <c r="IV62" s="78"/>
    </row>
    <row r="63" spans="1:256">
      <c r="A63" s="98" t="s">
        <v>521</v>
      </c>
      <c r="B63" s="97">
        <v>1</v>
      </c>
      <c r="C63" s="92">
        <v>5000</v>
      </c>
      <c r="D63" s="86">
        <f t="shared" si="7"/>
        <v>5000</v>
      </c>
      <c r="E63" s="85" t="s">
        <v>467</v>
      </c>
      <c r="F63" s="88"/>
      <c r="G63" s="90"/>
      <c r="H63" s="90"/>
      <c r="I63" s="90"/>
      <c r="J63" s="90"/>
      <c r="K63" s="88"/>
      <c r="L63" s="86"/>
      <c r="M63" s="90"/>
      <c r="N63" s="90"/>
      <c r="O63" s="91">
        <f t="shared" si="8"/>
        <v>60000</v>
      </c>
      <c r="P63" s="88"/>
      <c r="Q63" s="88"/>
      <c r="R63" s="88"/>
      <c r="S63" s="88"/>
      <c r="T63" s="88"/>
      <c r="U63" s="88"/>
      <c r="V63" s="78"/>
      <c r="W63" s="78"/>
      <c r="X63" s="78"/>
      <c r="Y63" s="78"/>
      <c r="Z63" s="78"/>
      <c r="AA63" s="78"/>
      <c r="AB63" s="78"/>
      <c r="AC63" s="78"/>
      <c r="AD63" s="78"/>
      <c r="AE63" s="78"/>
      <c r="AF63" s="78"/>
      <c r="AG63" s="78"/>
      <c r="AH63" s="78"/>
      <c r="AI63" s="78"/>
      <c r="AJ63" s="78"/>
      <c r="AK63" s="78"/>
      <c r="AL63" s="78"/>
      <c r="AM63" s="78"/>
      <c r="AN63" s="78"/>
      <c r="AO63" s="78"/>
      <c r="AP63" s="78"/>
      <c r="AQ63" s="78"/>
      <c r="AR63" s="78"/>
      <c r="AS63" s="78"/>
      <c r="AT63" s="78"/>
      <c r="AU63" s="78"/>
      <c r="AV63" s="78"/>
      <c r="AW63" s="78"/>
      <c r="AX63" s="78"/>
      <c r="AY63" s="78"/>
      <c r="AZ63" s="78"/>
      <c r="BA63" s="78"/>
      <c r="BB63" s="78"/>
      <c r="BC63" s="78"/>
      <c r="BD63" s="78"/>
      <c r="BE63" s="78"/>
      <c r="BF63" s="78"/>
      <c r="BG63" s="78"/>
      <c r="BH63" s="78"/>
      <c r="BI63" s="78"/>
      <c r="BJ63" s="78"/>
      <c r="BK63" s="78"/>
      <c r="BL63" s="78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8"/>
      <c r="CA63" s="78"/>
      <c r="CB63" s="78"/>
      <c r="CC63" s="78"/>
      <c r="CD63" s="78"/>
      <c r="CE63" s="78"/>
      <c r="CF63" s="78"/>
      <c r="CG63" s="78"/>
      <c r="CH63" s="78"/>
      <c r="CI63" s="78"/>
      <c r="CJ63" s="78"/>
      <c r="CK63" s="78"/>
      <c r="CL63" s="78"/>
      <c r="CM63" s="78"/>
      <c r="CN63" s="78"/>
      <c r="CO63" s="78"/>
      <c r="CP63" s="78"/>
      <c r="CQ63" s="78"/>
      <c r="CR63" s="78"/>
      <c r="CS63" s="78"/>
      <c r="CT63" s="78"/>
      <c r="CU63" s="78"/>
      <c r="CV63" s="78"/>
      <c r="CW63" s="78"/>
      <c r="CX63" s="78"/>
      <c r="CY63" s="78"/>
      <c r="CZ63" s="78"/>
      <c r="DA63" s="78"/>
      <c r="DB63" s="78"/>
      <c r="DC63" s="78"/>
      <c r="DD63" s="78"/>
      <c r="DE63" s="78"/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8"/>
      <c r="DR63" s="78"/>
      <c r="DS63" s="78"/>
      <c r="DT63" s="78"/>
      <c r="DU63" s="78"/>
      <c r="DV63" s="78"/>
      <c r="DW63" s="78"/>
      <c r="DX63" s="78"/>
      <c r="DY63" s="78"/>
      <c r="DZ63" s="78"/>
      <c r="EA63" s="78"/>
      <c r="EB63" s="78"/>
      <c r="EC63" s="78"/>
      <c r="ED63" s="78"/>
      <c r="EE63" s="78"/>
      <c r="EF63" s="78"/>
      <c r="EG63" s="78"/>
      <c r="EH63" s="78"/>
      <c r="EI63" s="78"/>
      <c r="EJ63" s="78"/>
      <c r="EK63" s="78"/>
      <c r="EL63" s="78"/>
      <c r="EM63" s="78"/>
      <c r="EN63" s="78"/>
      <c r="EO63" s="78"/>
      <c r="EP63" s="78"/>
      <c r="EQ63" s="78"/>
      <c r="ER63" s="78"/>
      <c r="ES63" s="78"/>
      <c r="ET63" s="78"/>
      <c r="EU63" s="78"/>
      <c r="EV63" s="78"/>
      <c r="EW63" s="78"/>
      <c r="EX63" s="78"/>
      <c r="EY63" s="78"/>
      <c r="EZ63" s="78"/>
      <c r="FA63" s="78"/>
      <c r="FB63" s="78"/>
      <c r="FC63" s="78"/>
      <c r="FD63" s="78"/>
      <c r="FE63" s="78"/>
      <c r="FF63" s="78"/>
      <c r="FG63" s="78"/>
      <c r="FH63" s="78"/>
      <c r="FI63" s="78"/>
      <c r="FJ63" s="78"/>
      <c r="FK63" s="78"/>
      <c r="FL63" s="78"/>
      <c r="FM63" s="78"/>
      <c r="FN63" s="78"/>
      <c r="FO63" s="78"/>
      <c r="FP63" s="78"/>
      <c r="FQ63" s="78"/>
      <c r="FR63" s="78"/>
      <c r="FS63" s="78"/>
      <c r="FT63" s="78"/>
      <c r="FU63" s="78"/>
      <c r="FV63" s="78"/>
      <c r="FW63" s="78"/>
      <c r="FX63" s="78"/>
      <c r="FY63" s="78"/>
      <c r="FZ63" s="78"/>
      <c r="GA63" s="78"/>
      <c r="GB63" s="78"/>
      <c r="GC63" s="78"/>
      <c r="GD63" s="78"/>
      <c r="GE63" s="78"/>
      <c r="GF63" s="78"/>
      <c r="GG63" s="78"/>
      <c r="GH63" s="78"/>
      <c r="GI63" s="78"/>
      <c r="GJ63" s="78"/>
      <c r="GK63" s="78"/>
      <c r="GL63" s="78"/>
      <c r="GM63" s="78"/>
      <c r="GN63" s="78"/>
      <c r="GO63" s="78"/>
      <c r="GP63" s="78"/>
      <c r="GQ63" s="78"/>
      <c r="GR63" s="78"/>
      <c r="GS63" s="78"/>
      <c r="GT63" s="78"/>
      <c r="GU63" s="78"/>
      <c r="GV63" s="78"/>
      <c r="GW63" s="78"/>
      <c r="GX63" s="78"/>
      <c r="GY63" s="78"/>
      <c r="GZ63" s="78"/>
      <c r="HA63" s="78"/>
      <c r="HB63" s="78"/>
      <c r="HC63" s="78"/>
      <c r="HD63" s="78"/>
      <c r="HE63" s="78"/>
      <c r="HF63" s="78"/>
      <c r="HG63" s="78"/>
      <c r="HH63" s="78"/>
      <c r="HI63" s="78"/>
      <c r="HJ63" s="78"/>
      <c r="HK63" s="78"/>
      <c r="HL63" s="78"/>
      <c r="HM63" s="78"/>
      <c r="HN63" s="78"/>
      <c r="HO63" s="78"/>
      <c r="HP63" s="78"/>
      <c r="HQ63" s="78"/>
      <c r="HR63" s="78"/>
      <c r="HS63" s="78"/>
      <c r="HT63" s="78"/>
      <c r="HU63" s="78"/>
      <c r="HV63" s="78"/>
      <c r="HW63" s="78"/>
      <c r="HX63" s="78"/>
      <c r="HY63" s="78"/>
      <c r="HZ63" s="78"/>
      <c r="IA63" s="78"/>
      <c r="IB63" s="78"/>
      <c r="IC63" s="78"/>
      <c r="ID63" s="78"/>
      <c r="IE63" s="78"/>
      <c r="IF63" s="78"/>
      <c r="IG63" s="78"/>
      <c r="IH63" s="78"/>
      <c r="II63" s="78"/>
      <c r="IJ63" s="78"/>
      <c r="IK63" s="78"/>
      <c r="IL63" s="78"/>
      <c r="IM63" s="78"/>
      <c r="IN63" s="78"/>
      <c r="IO63" s="78"/>
      <c r="IP63" s="78"/>
      <c r="IQ63" s="78"/>
      <c r="IR63" s="78"/>
      <c r="IS63" s="78"/>
      <c r="IT63" s="78"/>
      <c r="IU63" s="78"/>
      <c r="IV63" s="78"/>
    </row>
    <row r="64" spans="1:256" ht="13.5" thickBot="1">
      <c r="A64" s="103" t="s">
        <v>522</v>
      </c>
      <c r="B64" s="104">
        <v>3</v>
      </c>
      <c r="C64" s="105">
        <v>5000</v>
      </c>
      <c r="D64" s="102">
        <f t="shared" si="7"/>
        <v>15000</v>
      </c>
      <c r="E64" s="106" t="s">
        <v>467</v>
      </c>
      <c r="F64" s="88"/>
      <c r="G64" s="90"/>
      <c r="H64" s="90"/>
      <c r="I64" s="90"/>
      <c r="J64" s="90"/>
      <c r="K64" s="99"/>
      <c r="L64" s="102"/>
      <c r="M64" s="101"/>
      <c r="N64" s="101"/>
      <c r="O64" s="100">
        <f t="shared" si="8"/>
        <v>180000</v>
      </c>
      <c r="P64" s="88"/>
      <c r="Q64" s="88"/>
      <c r="R64" s="88"/>
      <c r="S64" s="99"/>
      <c r="T64" s="99"/>
      <c r="U64" s="99"/>
      <c r="V64" s="78"/>
      <c r="W64" s="78"/>
      <c r="X64" s="78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78"/>
      <c r="AO64" s="78"/>
      <c r="AP64" s="78"/>
      <c r="AQ64" s="78"/>
      <c r="AR64" s="78"/>
      <c r="AS64" s="78"/>
      <c r="AT64" s="78"/>
      <c r="AU64" s="78"/>
      <c r="AV64" s="78"/>
      <c r="AW64" s="78"/>
      <c r="AX64" s="78"/>
      <c r="AY64" s="78"/>
      <c r="AZ64" s="78"/>
      <c r="BA64" s="78"/>
      <c r="BB64" s="78"/>
      <c r="BC64" s="78"/>
      <c r="BD64" s="78"/>
      <c r="BE64" s="78"/>
      <c r="BF64" s="78"/>
      <c r="BG64" s="78"/>
      <c r="BH64" s="78"/>
      <c r="BI64" s="78"/>
      <c r="BJ64" s="78"/>
      <c r="BK64" s="78"/>
      <c r="BL64" s="78"/>
      <c r="BM64" s="78"/>
      <c r="BN64" s="78"/>
      <c r="BO64" s="78"/>
      <c r="BP64" s="78"/>
      <c r="BQ64" s="78"/>
      <c r="BR64" s="78"/>
      <c r="BS64" s="78"/>
      <c r="BT64" s="78"/>
      <c r="BU64" s="78"/>
      <c r="BV64" s="78"/>
      <c r="BW64" s="78"/>
      <c r="BX64" s="78"/>
      <c r="BY64" s="78"/>
      <c r="BZ64" s="78"/>
      <c r="CA64" s="78"/>
      <c r="CB64" s="78"/>
      <c r="CC64" s="78"/>
      <c r="CD64" s="78"/>
      <c r="CE64" s="78"/>
      <c r="CF64" s="78"/>
      <c r="CG64" s="78"/>
      <c r="CH64" s="78"/>
      <c r="CI64" s="78"/>
      <c r="CJ64" s="78"/>
      <c r="CK64" s="78"/>
      <c r="CL64" s="78"/>
      <c r="CM64" s="78"/>
      <c r="CN64" s="78"/>
      <c r="CO64" s="78"/>
      <c r="CP64" s="78"/>
      <c r="CQ64" s="78"/>
      <c r="CR64" s="78"/>
      <c r="CS64" s="78"/>
      <c r="CT64" s="78"/>
      <c r="CU64" s="78"/>
      <c r="CV64" s="78"/>
      <c r="CW64" s="78"/>
      <c r="CX64" s="78"/>
      <c r="CY64" s="78"/>
      <c r="CZ64" s="78"/>
      <c r="DA64" s="78"/>
      <c r="DB64" s="78"/>
      <c r="DC64" s="78"/>
      <c r="DD64" s="78"/>
      <c r="DE64" s="78"/>
      <c r="DF64" s="78"/>
      <c r="DG64" s="78"/>
      <c r="DH64" s="78"/>
      <c r="DI64" s="78"/>
      <c r="DJ64" s="78"/>
      <c r="DK64" s="78"/>
      <c r="DL64" s="78"/>
      <c r="DM64" s="78"/>
      <c r="DN64" s="78"/>
      <c r="DO64" s="78"/>
      <c r="DP64" s="78"/>
      <c r="DQ64" s="78"/>
      <c r="DR64" s="78"/>
      <c r="DS64" s="78"/>
      <c r="DT64" s="78"/>
      <c r="DU64" s="78"/>
      <c r="DV64" s="78"/>
      <c r="DW64" s="78"/>
      <c r="DX64" s="78"/>
      <c r="DY64" s="78"/>
      <c r="DZ64" s="78"/>
      <c r="EA64" s="78"/>
      <c r="EB64" s="78"/>
      <c r="EC64" s="78"/>
      <c r="ED64" s="78"/>
      <c r="EE64" s="78"/>
      <c r="EF64" s="78"/>
      <c r="EG64" s="78"/>
      <c r="EH64" s="78"/>
      <c r="EI64" s="78"/>
      <c r="EJ64" s="78"/>
      <c r="EK64" s="78"/>
      <c r="EL64" s="78"/>
      <c r="EM64" s="78"/>
      <c r="EN64" s="78"/>
      <c r="EO64" s="78"/>
      <c r="EP64" s="78"/>
      <c r="EQ64" s="78"/>
      <c r="ER64" s="78"/>
      <c r="ES64" s="78"/>
      <c r="ET64" s="78"/>
      <c r="EU64" s="78"/>
      <c r="EV64" s="78"/>
      <c r="EW64" s="78"/>
      <c r="EX64" s="78"/>
      <c r="EY64" s="78"/>
      <c r="EZ64" s="78"/>
      <c r="FA64" s="78"/>
      <c r="FB64" s="78"/>
      <c r="FC64" s="78"/>
      <c r="FD64" s="78"/>
      <c r="FE64" s="78"/>
      <c r="FF64" s="78"/>
      <c r="FG64" s="78"/>
      <c r="FH64" s="78"/>
      <c r="FI64" s="78"/>
      <c r="FJ64" s="78"/>
      <c r="FK64" s="78"/>
      <c r="FL64" s="78"/>
      <c r="FM64" s="78"/>
      <c r="FN64" s="78"/>
      <c r="FO64" s="78"/>
      <c r="FP64" s="78"/>
      <c r="FQ64" s="78"/>
      <c r="FR64" s="78"/>
      <c r="FS64" s="78"/>
      <c r="FT64" s="78"/>
      <c r="FU64" s="78"/>
      <c r="FV64" s="78"/>
      <c r="FW64" s="78"/>
      <c r="FX64" s="78"/>
      <c r="FY64" s="78"/>
      <c r="FZ64" s="78"/>
      <c r="GA64" s="78"/>
      <c r="GB64" s="78"/>
      <c r="GC64" s="78"/>
      <c r="GD64" s="78"/>
      <c r="GE64" s="78"/>
      <c r="GF64" s="78"/>
      <c r="GG64" s="78"/>
      <c r="GH64" s="78"/>
      <c r="GI64" s="78"/>
      <c r="GJ64" s="78"/>
      <c r="GK64" s="78"/>
      <c r="GL64" s="78"/>
      <c r="GM64" s="78"/>
      <c r="GN64" s="78"/>
      <c r="GO64" s="78"/>
      <c r="GP64" s="78"/>
      <c r="GQ64" s="78"/>
      <c r="GR64" s="78"/>
      <c r="GS64" s="78"/>
      <c r="GT64" s="78"/>
      <c r="GU64" s="78"/>
      <c r="GV64" s="78"/>
      <c r="GW64" s="78"/>
      <c r="GX64" s="78"/>
      <c r="GY64" s="78"/>
      <c r="GZ64" s="78"/>
      <c r="HA64" s="78"/>
      <c r="HB64" s="78"/>
      <c r="HC64" s="78"/>
      <c r="HD64" s="78"/>
      <c r="HE64" s="78"/>
      <c r="HF64" s="78"/>
      <c r="HG64" s="78"/>
      <c r="HH64" s="78"/>
      <c r="HI64" s="78"/>
      <c r="HJ64" s="78"/>
      <c r="HK64" s="78"/>
      <c r="HL64" s="78"/>
      <c r="HM64" s="78"/>
      <c r="HN64" s="78"/>
      <c r="HO64" s="78"/>
      <c r="HP64" s="78"/>
      <c r="HQ64" s="78"/>
      <c r="HR64" s="78"/>
      <c r="HS64" s="78"/>
      <c r="HT64" s="78"/>
      <c r="HU64" s="78"/>
      <c r="HV64" s="78"/>
      <c r="HW64" s="78"/>
      <c r="HX64" s="78"/>
      <c r="HY64" s="78"/>
      <c r="HZ64" s="78"/>
      <c r="IA64" s="78"/>
      <c r="IB64" s="78"/>
      <c r="IC64" s="78"/>
      <c r="ID64" s="78"/>
      <c r="IE64" s="78"/>
      <c r="IF64" s="78"/>
      <c r="IG64" s="78"/>
      <c r="IH64" s="78"/>
      <c r="II64" s="78"/>
      <c r="IJ64" s="78"/>
      <c r="IK64" s="78"/>
      <c r="IL64" s="78"/>
      <c r="IM64" s="78"/>
      <c r="IN64" s="78"/>
      <c r="IO64" s="78"/>
      <c r="IP64" s="78"/>
      <c r="IQ64" s="78"/>
      <c r="IR64" s="78"/>
      <c r="IS64" s="78"/>
      <c r="IT64" s="78"/>
      <c r="IU64" s="78"/>
      <c r="IV64" s="78"/>
    </row>
    <row r="65" spans="1:256" s="82" customFormat="1" ht="13.5" thickBot="1">
      <c r="A65" s="107"/>
      <c r="B65" s="108">
        <f>SUM(B7:B64)</f>
        <v>125</v>
      </c>
      <c r="C65" s="109"/>
      <c r="D65" s="110"/>
      <c r="E65" s="111"/>
      <c r="F65" s="112">
        <f t="shared" ref="F65:U65" si="9">SUM(F10:F64)</f>
        <v>0</v>
      </c>
      <c r="G65" s="113">
        <f t="shared" si="9"/>
        <v>0</v>
      </c>
      <c r="H65" s="113">
        <f t="shared" si="9"/>
        <v>0</v>
      </c>
      <c r="I65" s="113">
        <f t="shared" si="9"/>
        <v>0</v>
      </c>
      <c r="J65" s="114">
        <f t="shared" si="9"/>
        <v>0</v>
      </c>
      <c r="K65" s="115">
        <f t="shared" si="9"/>
        <v>66000</v>
      </c>
      <c r="L65" s="115">
        <f t="shared" si="9"/>
        <v>1296000</v>
      </c>
      <c r="M65" s="115">
        <f t="shared" si="9"/>
        <v>76500</v>
      </c>
      <c r="N65" s="115">
        <f t="shared" si="9"/>
        <v>51000</v>
      </c>
      <c r="O65" s="115">
        <f t="shared" si="9"/>
        <v>11250000</v>
      </c>
      <c r="P65" s="112">
        <f t="shared" si="9"/>
        <v>0</v>
      </c>
      <c r="Q65" s="113">
        <f t="shared" si="9"/>
        <v>0</v>
      </c>
      <c r="R65" s="114">
        <f t="shared" si="9"/>
        <v>0</v>
      </c>
      <c r="S65" s="115">
        <f t="shared" si="9"/>
        <v>174000</v>
      </c>
      <c r="T65" s="115">
        <f t="shared" si="9"/>
        <v>174000</v>
      </c>
      <c r="U65" s="115">
        <f t="shared" si="9"/>
        <v>3400</v>
      </c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6"/>
      <c r="BT65" s="116"/>
      <c r="BU65" s="116"/>
      <c r="BV65" s="116"/>
      <c r="BW65" s="116"/>
      <c r="BX65" s="116"/>
      <c r="BY65" s="116"/>
      <c r="BZ65" s="116"/>
      <c r="CA65" s="116"/>
      <c r="CB65" s="116"/>
      <c r="CC65" s="116"/>
      <c r="CD65" s="116"/>
      <c r="CE65" s="116"/>
      <c r="CF65" s="116"/>
      <c r="CG65" s="116"/>
      <c r="CH65" s="116"/>
      <c r="CI65" s="116"/>
      <c r="CJ65" s="116"/>
      <c r="CK65" s="116"/>
      <c r="CL65" s="116"/>
      <c r="CM65" s="116"/>
      <c r="CN65" s="116"/>
      <c r="CO65" s="116"/>
      <c r="CP65" s="116"/>
      <c r="CQ65" s="116"/>
      <c r="CR65" s="116"/>
      <c r="CS65" s="116"/>
      <c r="CT65" s="116"/>
      <c r="CU65" s="116"/>
      <c r="CV65" s="116"/>
      <c r="CW65" s="116"/>
      <c r="CX65" s="116"/>
      <c r="CY65" s="116"/>
      <c r="CZ65" s="116"/>
      <c r="DA65" s="116"/>
      <c r="DB65" s="116"/>
      <c r="DC65" s="116"/>
      <c r="DD65" s="116"/>
      <c r="DE65" s="116"/>
      <c r="DF65" s="116"/>
      <c r="DG65" s="116"/>
      <c r="DH65" s="116"/>
      <c r="DI65" s="116"/>
      <c r="DJ65" s="116"/>
      <c r="DK65" s="116"/>
      <c r="DL65" s="116"/>
      <c r="DM65" s="116"/>
      <c r="DN65" s="116"/>
      <c r="DO65" s="116"/>
      <c r="DP65" s="116"/>
      <c r="DQ65" s="116"/>
      <c r="DR65" s="116"/>
      <c r="DS65" s="116"/>
      <c r="DT65" s="116"/>
      <c r="DU65" s="116"/>
      <c r="DV65" s="116"/>
      <c r="DW65" s="116"/>
      <c r="DX65" s="116"/>
      <c r="DY65" s="116"/>
      <c r="DZ65" s="116"/>
      <c r="EA65" s="116"/>
      <c r="EB65" s="116"/>
      <c r="EC65" s="116"/>
      <c r="ED65" s="116"/>
      <c r="EE65" s="116"/>
      <c r="EF65" s="116"/>
      <c r="EG65" s="116"/>
      <c r="EH65" s="116"/>
      <c r="EI65" s="116"/>
      <c r="EJ65" s="116"/>
      <c r="EK65" s="116"/>
      <c r="EL65" s="116"/>
      <c r="EM65" s="116"/>
      <c r="EN65" s="116"/>
      <c r="EO65" s="116"/>
      <c r="EP65" s="116"/>
      <c r="EQ65" s="116"/>
      <c r="ER65" s="116"/>
      <c r="ES65" s="116"/>
      <c r="ET65" s="116"/>
      <c r="EU65" s="116"/>
      <c r="EV65" s="116"/>
      <c r="EW65" s="116"/>
      <c r="EX65" s="116"/>
      <c r="EY65" s="116"/>
      <c r="EZ65" s="116"/>
      <c r="FA65" s="116"/>
      <c r="FB65" s="116"/>
      <c r="FC65" s="116"/>
      <c r="FD65" s="116"/>
      <c r="FE65" s="116"/>
      <c r="FF65" s="116"/>
      <c r="FG65" s="116"/>
      <c r="FH65" s="116"/>
      <c r="FI65" s="116"/>
      <c r="FJ65" s="116"/>
      <c r="FK65" s="116"/>
      <c r="FL65" s="116"/>
      <c r="FM65" s="116"/>
      <c r="FN65" s="116"/>
      <c r="FO65" s="116"/>
      <c r="FP65" s="116"/>
      <c r="FQ65" s="116"/>
      <c r="FR65" s="116"/>
      <c r="FS65" s="116"/>
      <c r="FT65" s="116"/>
      <c r="FU65" s="116"/>
      <c r="FV65" s="116"/>
      <c r="FW65" s="116"/>
      <c r="FX65" s="116"/>
      <c r="FY65" s="116"/>
      <c r="FZ65" s="116"/>
      <c r="GA65" s="116"/>
      <c r="GB65" s="116"/>
      <c r="GC65" s="116"/>
      <c r="GD65" s="116"/>
      <c r="GE65" s="116"/>
      <c r="GF65" s="116"/>
      <c r="GG65" s="116"/>
      <c r="GH65" s="116"/>
      <c r="GI65" s="116"/>
      <c r="GJ65" s="116"/>
      <c r="GK65" s="116"/>
      <c r="GL65" s="116"/>
      <c r="GM65" s="116"/>
      <c r="GN65" s="116"/>
      <c r="GO65" s="116"/>
      <c r="GP65" s="116"/>
      <c r="GQ65" s="116"/>
      <c r="GR65" s="116"/>
      <c r="GS65" s="116"/>
      <c r="GT65" s="116"/>
      <c r="GU65" s="116"/>
      <c r="GV65" s="116"/>
      <c r="GW65" s="116"/>
      <c r="GX65" s="116"/>
      <c r="GY65" s="116"/>
      <c r="GZ65" s="116"/>
      <c r="HA65" s="116"/>
      <c r="HB65" s="116"/>
      <c r="HC65" s="116"/>
      <c r="HD65" s="116"/>
      <c r="HE65" s="116"/>
      <c r="HF65" s="116"/>
      <c r="HG65" s="116"/>
      <c r="HH65" s="116"/>
      <c r="HI65" s="116"/>
      <c r="HJ65" s="116"/>
      <c r="HK65" s="116"/>
      <c r="HL65" s="116"/>
      <c r="HM65" s="116"/>
      <c r="HN65" s="116"/>
      <c r="HO65" s="116"/>
      <c r="HP65" s="116"/>
      <c r="HQ65" s="116"/>
      <c r="HR65" s="116"/>
      <c r="HS65" s="116"/>
      <c r="HT65" s="116"/>
      <c r="HU65" s="116"/>
      <c r="HV65" s="116"/>
      <c r="HW65" s="116"/>
      <c r="HX65" s="116"/>
      <c r="HY65" s="116"/>
      <c r="HZ65" s="116"/>
      <c r="IA65" s="116"/>
      <c r="IB65" s="116"/>
      <c r="IC65" s="116"/>
      <c r="ID65" s="116"/>
      <c r="IE65" s="116"/>
      <c r="IF65" s="116"/>
      <c r="IG65" s="116"/>
      <c r="IH65" s="116"/>
      <c r="II65" s="116"/>
      <c r="IJ65" s="116"/>
      <c r="IK65" s="116"/>
      <c r="IL65" s="116"/>
      <c r="IM65" s="116"/>
      <c r="IN65" s="116"/>
      <c r="IO65" s="116"/>
      <c r="IP65" s="116"/>
      <c r="IQ65" s="116"/>
      <c r="IR65" s="116"/>
      <c r="IS65" s="116"/>
      <c r="IT65" s="116"/>
      <c r="IU65" s="116"/>
      <c r="IV65" s="116"/>
    </row>
    <row r="66" spans="1:256" s="82" customFormat="1" ht="13.5" thickBot="1">
      <c r="A66" s="840" t="s">
        <v>468</v>
      </c>
      <c r="B66" s="841"/>
      <c r="C66" s="841"/>
      <c r="D66" s="841"/>
      <c r="E66" s="841"/>
      <c r="F66" s="841"/>
      <c r="G66" s="841"/>
      <c r="H66" s="841"/>
      <c r="I66" s="841"/>
      <c r="J66" s="841"/>
      <c r="K66" s="841"/>
      <c r="L66" s="841"/>
      <c r="M66" s="841"/>
      <c r="N66" s="841"/>
      <c r="O66" s="841"/>
      <c r="P66" s="841"/>
      <c r="Q66" s="841"/>
      <c r="R66" s="841"/>
      <c r="S66" s="841"/>
      <c r="T66" s="842"/>
      <c r="U66" s="582">
        <f>U65+T65+S65+O65+N65+M65+L65+K65</f>
        <v>13090900</v>
      </c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81"/>
      <c r="BL66" s="81"/>
      <c r="BM66" s="81"/>
      <c r="BN66" s="81"/>
      <c r="BO66" s="81"/>
      <c r="BP66" s="81"/>
      <c r="BQ66" s="81"/>
      <c r="BR66" s="81"/>
      <c r="BS66" s="81"/>
      <c r="BT66" s="81"/>
      <c r="BU66" s="8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  <c r="EO66" s="81"/>
      <c r="EP66" s="81"/>
      <c r="EQ66" s="81"/>
      <c r="ER66" s="81"/>
      <c r="ES66" s="81"/>
      <c r="ET66" s="81"/>
      <c r="EU66" s="81"/>
      <c r="EV66" s="81"/>
      <c r="EW66" s="81"/>
      <c r="EX66" s="81"/>
      <c r="EY66" s="81"/>
      <c r="EZ66" s="81"/>
      <c r="FA66" s="81"/>
      <c r="FB66" s="81"/>
      <c r="FC66" s="81"/>
      <c r="FD66" s="81"/>
      <c r="FE66" s="81"/>
      <c r="FF66" s="81"/>
      <c r="FG66" s="81"/>
      <c r="FH66" s="81"/>
      <c r="FI66" s="81"/>
      <c r="FJ66" s="81"/>
      <c r="FK66" s="81"/>
      <c r="FL66" s="81"/>
      <c r="FM66" s="81"/>
      <c r="FN66" s="81"/>
      <c r="FO66" s="81"/>
      <c r="FP66" s="81"/>
      <c r="FQ66" s="81"/>
      <c r="FR66" s="81"/>
      <c r="FS66" s="81"/>
      <c r="FT66" s="81"/>
      <c r="FU66" s="81"/>
      <c r="FV66" s="81"/>
      <c r="FW66" s="81"/>
      <c r="FX66" s="81"/>
      <c r="FY66" s="81"/>
      <c r="FZ66" s="81"/>
      <c r="GA66" s="81"/>
      <c r="GB66" s="81"/>
      <c r="GC66" s="81"/>
      <c r="GD66" s="81"/>
      <c r="GE66" s="81"/>
      <c r="GF66" s="81"/>
      <c r="GG66" s="81"/>
      <c r="GH66" s="81"/>
      <c r="GI66" s="81"/>
      <c r="GJ66" s="81"/>
      <c r="GK66" s="81"/>
      <c r="GL66" s="81"/>
      <c r="GM66" s="81"/>
      <c r="GN66" s="81"/>
      <c r="GO66" s="81"/>
      <c r="GP66" s="81"/>
      <c r="GQ66" s="81"/>
      <c r="GR66" s="81"/>
      <c r="GS66" s="81"/>
      <c r="GT66" s="81"/>
      <c r="GU66" s="81"/>
      <c r="GV66" s="81"/>
      <c r="GW66" s="81"/>
      <c r="GX66" s="81"/>
      <c r="GY66" s="81"/>
      <c r="GZ66" s="81"/>
      <c r="HA66" s="81"/>
      <c r="HB66" s="81"/>
      <c r="HC66" s="81"/>
      <c r="HD66" s="81"/>
      <c r="HE66" s="81"/>
      <c r="HF66" s="81"/>
      <c r="HG66" s="81"/>
      <c r="HH66" s="81"/>
      <c r="HI66" s="81"/>
      <c r="HJ66" s="81"/>
      <c r="HK66" s="81"/>
      <c r="HL66" s="81"/>
      <c r="HM66" s="81"/>
      <c r="HN66" s="81"/>
      <c r="HO66" s="81"/>
      <c r="HP66" s="81"/>
      <c r="HQ66" s="81"/>
      <c r="HR66" s="81"/>
      <c r="HS66" s="81"/>
      <c r="HT66" s="81"/>
      <c r="HU66" s="81"/>
      <c r="HV66" s="81"/>
      <c r="HW66" s="81"/>
      <c r="HX66" s="81"/>
      <c r="HY66" s="81"/>
      <c r="HZ66" s="81"/>
      <c r="IA66" s="81"/>
      <c r="IB66" s="81"/>
      <c r="IC66" s="81"/>
      <c r="ID66" s="81"/>
      <c r="IE66" s="81"/>
      <c r="IF66" s="81"/>
      <c r="IG66" s="81"/>
      <c r="IH66" s="81"/>
      <c r="II66" s="81"/>
      <c r="IJ66" s="81"/>
      <c r="IK66" s="81"/>
      <c r="IL66" s="81"/>
      <c r="IM66" s="81"/>
      <c r="IN66" s="81"/>
      <c r="IO66" s="81"/>
      <c r="IP66" s="81"/>
      <c r="IQ66" s="81"/>
      <c r="IR66" s="81"/>
      <c r="IS66" s="81"/>
      <c r="IT66" s="81"/>
      <c r="IU66" s="81"/>
      <c r="IV66" s="81"/>
    </row>
  </sheetData>
  <mergeCells count="10">
    <mergeCell ref="A2:G2"/>
    <mergeCell ref="A3:G3"/>
    <mergeCell ref="A4:G4"/>
    <mergeCell ref="D5:D6"/>
    <mergeCell ref="A66:T66"/>
    <mergeCell ref="A5:A6"/>
    <mergeCell ref="B5:B6"/>
    <mergeCell ref="C5:C6"/>
    <mergeCell ref="E5:E6"/>
    <mergeCell ref="K5:U5"/>
  </mergeCells>
  <pageMargins left="0.70866141732283472" right="0.70866141732283472" top="0.74803149606299213" bottom="0.74803149606299213" header="0.31496062992125984" footer="0.31496062992125984"/>
  <pageSetup paperSize="17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"/>
  <sheetViews>
    <sheetView workbookViewId="0">
      <selection activeCell="E19" sqref="E19"/>
    </sheetView>
  </sheetViews>
  <sheetFormatPr baseColWidth="10" defaultRowHeight="11.25"/>
  <cols>
    <col min="1" max="1" width="21.85546875" style="132" customWidth="1"/>
    <col min="2" max="2" width="11.5703125" style="24" bestFit="1" customWidth="1"/>
    <col min="3" max="3" width="17.28515625" style="24" customWidth="1"/>
    <col min="4" max="4" width="13.85546875" style="24" customWidth="1"/>
    <col min="5" max="5" width="14.42578125" style="24" bestFit="1" customWidth="1"/>
    <col min="6" max="7" width="11.7109375" style="24" bestFit="1" customWidth="1"/>
    <col min="8" max="8" width="15.42578125" style="24" bestFit="1" customWidth="1"/>
    <col min="9" max="16384" width="11.42578125" style="24"/>
  </cols>
  <sheetData>
    <row r="1" spans="1:8" s="22" customFormat="1" ht="12.75">
      <c r="A1" s="130" t="s">
        <v>25</v>
      </c>
      <c r="B1" s="128"/>
      <c r="C1" s="128"/>
      <c r="D1" s="128"/>
      <c r="E1" s="129"/>
      <c r="F1" s="129"/>
      <c r="G1" s="129"/>
      <c r="H1" s="129"/>
    </row>
    <row r="2" spans="1:8" s="22" customFormat="1" ht="12.75">
      <c r="A2" s="130" t="s">
        <v>566</v>
      </c>
      <c r="B2" s="128"/>
      <c r="C2" s="128"/>
      <c r="D2" s="128"/>
      <c r="E2" s="117"/>
      <c r="F2" s="117"/>
      <c r="G2" s="117"/>
      <c r="H2" s="117"/>
    </row>
    <row r="3" spans="1:8" s="22" customFormat="1" ht="12.75">
      <c r="A3" s="130" t="s">
        <v>471</v>
      </c>
      <c r="B3" s="128"/>
      <c r="C3" s="128"/>
      <c r="D3" s="128"/>
      <c r="E3" s="118"/>
      <c r="F3" s="118"/>
      <c r="G3" s="118"/>
      <c r="H3" s="118"/>
    </row>
    <row r="4" spans="1:8" s="22" customFormat="1" ht="13.5" customHeight="1" thickBot="1">
      <c r="A4" s="843" t="s">
        <v>472</v>
      </c>
      <c r="B4" s="843"/>
      <c r="C4" s="843"/>
      <c r="D4" s="843"/>
      <c r="E4" s="118"/>
      <c r="F4" s="118"/>
      <c r="G4" s="118"/>
      <c r="H4" s="118"/>
    </row>
    <row r="5" spans="1:8" s="22" customFormat="1" ht="17.25" customHeight="1">
      <c r="A5" s="1012" t="s">
        <v>462</v>
      </c>
      <c r="B5" s="1014" t="s">
        <v>36</v>
      </c>
      <c r="C5" s="1016" t="s">
        <v>37</v>
      </c>
      <c r="D5" s="1016" t="s">
        <v>38</v>
      </c>
      <c r="E5" s="1017" t="s">
        <v>464</v>
      </c>
      <c r="F5" s="1017"/>
      <c r="G5" s="1017"/>
      <c r="H5" s="1018"/>
    </row>
    <row r="6" spans="1:8" s="22" customFormat="1" ht="12.75">
      <c r="A6" s="1013" t="s">
        <v>29</v>
      </c>
      <c r="B6" s="1015"/>
      <c r="C6" s="1015"/>
      <c r="D6" s="1015" t="s">
        <v>31</v>
      </c>
      <c r="E6" s="583">
        <v>22</v>
      </c>
      <c r="F6" s="583">
        <v>26</v>
      </c>
      <c r="G6" s="583">
        <v>27</v>
      </c>
      <c r="H6" s="586">
        <v>29</v>
      </c>
    </row>
    <row r="7" spans="1:8">
      <c r="A7" s="587" t="s">
        <v>524</v>
      </c>
      <c r="B7" s="119">
        <v>1</v>
      </c>
      <c r="C7" s="123">
        <v>25000</v>
      </c>
      <c r="D7" s="119" t="s">
        <v>525</v>
      </c>
      <c r="E7" s="121">
        <v>300000</v>
      </c>
      <c r="F7" s="121">
        <v>3500</v>
      </c>
      <c r="G7" s="121">
        <v>3000</v>
      </c>
      <c r="H7" s="588"/>
    </row>
    <row r="8" spans="1:8" ht="22.5">
      <c r="A8" s="587" t="s">
        <v>526</v>
      </c>
      <c r="B8" s="119">
        <v>1</v>
      </c>
      <c r="C8" s="123">
        <v>20000</v>
      </c>
      <c r="D8" s="119" t="s">
        <v>525</v>
      </c>
      <c r="E8" s="121">
        <v>240000</v>
      </c>
      <c r="F8" s="121">
        <v>3500</v>
      </c>
      <c r="G8" s="121">
        <v>3000</v>
      </c>
      <c r="H8" s="588"/>
    </row>
    <row r="9" spans="1:8" ht="22.5">
      <c r="A9" s="587" t="s">
        <v>527</v>
      </c>
      <c r="B9" s="119">
        <v>1</v>
      </c>
      <c r="C9" s="125">
        <v>20000</v>
      </c>
      <c r="D9" s="119" t="s">
        <v>525</v>
      </c>
      <c r="E9" s="121">
        <v>240000</v>
      </c>
      <c r="F9" s="121">
        <v>3500</v>
      </c>
      <c r="G9" s="121">
        <v>3000</v>
      </c>
      <c r="H9" s="588"/>
    </row>
    <row r="10" spans="1:8" ht="22.5">
      <c r="A10" s="587" t="s">
        <v>528</v>
      </c>
      <c r="B10" s="119">
        <v>1</v>
      </c>
      <c r="C10" s="125">
        <v>20000</v>
      </c>
      <c r="D10" s="119" t="s">
        <v>525</v>
      </c>
      <c r="E10" s="121">
        <v>240000</v>
      </c>
      <c r="F10" s="121">
        <v>3500</v>
      </c>
      <c r="G10" s="121">
        <v>3000</v>
      </c>
      <c r="H10" s="588"/>
    </row>
    <row r="11" spans="1:8" ht="22.5">
      <c r="A11" s="587" t="s">
        <v>529</v>
      </c>
      <c r="B11" s="119">
        <v>1</v>
      </c>
      <c r="C11" s="123">
        <v>12000</v>
      </c>
      <c r="D11" s="119" t="s">
        <v>525</v>
      </c>
      <c r="E11" s="121">
        <v>144000</v>
      </c>
      <c r="F11" s="121">
        <v>3500</v>
      </c>
      <c r="G11" s="121">
        <v>3000</v>
      </c>
      <c r="H11" s="588"/>
    </row>
    <row r="12" spans="1:8" ht="22.5">
      <c r="A12" s="587" t="s">
        <v>530</v>
      </c>
      <c r="B12" s="119">
        <v>1</v>
      </c>
      <c r="C12" s="125">
        <v>12000</v>
      </c>
      <c r="D12" s="119" t="s">
        <v>525</v>
      </c>
      <c r="E12" s="121">
        <v>144000</v>
      </c>
      <c r="F12" s="121">
        <v>3500</v>
      </c>
      <c r="G12" s="121">
        <v>3000</v>
      </c>
      <c r="H12" s="588"/>
    </row>
    <row r="13" spans="1:8" ht="22.5">
      <c r="A13" s="587" t="s">
        <v>531</v>
      </c>
      <c r="B13" s="119">
        <v>1</v>
      </c>
      <c r="C13" s="125">
        <v>12000</v>
      </c>
      <c r="D13" s="119" t="s">
        <v>525</v>
      </c>
      <c r="E13" s="121">
        <v>144000</v>
      </c>
      <c r="F13" s="121">
        <v>3500</v>
      </c>
      <c r="G13" s="121">
        <v>3000</v>
      </c>
      <c r="H13" s="588"/>
    </row>
    <row r="14" spans="1:8" ht="22.5">
      <c r="A14" s="587" t="s">
        <v>532</v>
      </c>
      <c r="B14" s="119">
        <v>1</v>
      </c>
      <c r="C14" s="125">
        <v>12000</v>
      </c>
      <c r="D14" s="119" t="s">
        <v>525</v>
      </c>
      <c r="E14" s="121">
        <v>144000</v>
      </c>
      <c r="F14" s="121">
        <v>3500</v>
      </c>
      <c r="G14" s="121">
        <v>3000</v>
      </c>
      <c r="H14" s="588"/>
    </row>
    <row r="15" spans="1:8" ht="22.5">
      <c r="A15" s="587" t="s">
        <v>533</v>
      </c>
      <c r="B15" s="119">
        <v>1</v>
      </c>
      <c r="C15" s="125">
        <v>12000</v>
      </c>
      <c r="D15" s="119" t="s">
        <v>525</v>
      </c>
      <c r="E15" s="121">
        <v>144000</v>
      </c>
      <c r="F15" s="121">
        <v>3500</v>
      </c>
      <c r="G15" s="121">
        <v>3000</v>
      </c>
      <c r="H15" s="588"/>
    </row>
    <row r="16" spans="1:8">
      <c r="A16" s="587" t="s">
        <v>534</v>
      </c>
      <c r="B16" s="119">
        <v>2</v>
      </c>
      <c r="C16" s="120">
        <v>20000</v>
      </c>
      <c r="D16" s="119" t="s">
        <v>33</v>
      </c>
      <c r="E16" s="121"/>
      <c r="F16" s="121"/>
      <c r="G16" s="121"/>
      <c r="H16" s="589">
        <v>480000</v>
      </c>
    </row>
    <row r="17" spans="1:8">
      <c r="A17" s="587" t="s">
        <v>534</v>
      </c>
      <c r="B17" s="119">
        <v>5</v>
      </c>
      <c r="C17" s="122">
        <v>18000</v>
      </c>
      <c r="D17" s="119" t="s">
        <v>33</v>
      </c>
      <c r="E17" s="121"/>
      <c r="F17" s="121"/>
      <c r="G17" s="121"/>
      <c r="H17" s="589">
        <v>1080000</v>
      </c>
    </row>
    <row r="18" spans="1:8">
      <c r="A18" s="587" t="s">
        <v>534</v>
      </c>
      <c r="B18" s="119">
        <v>4</v>
      </c>
      <c r="C18" s="120">
        <v>8000</v>
      </c>
      <c r="D18" s="119" t="s">
        <v>33</v>
      </c>
      <c r="E18" s="121"/>
      <c r="F18" s="121"/>
      <c r="G18" s="121"/>
      <c r="H18" s="589">
        <v>384000</v>
      </c>
    </row>
    <row r="19" spans="1:8" ht="22.5">
      <c r="A19" s="587" t="s">
        <v>535</v>
      </c>
      <c r="B19" s="119">
        <v>3</v>
      </c>
      <c r="C19" s="122">
        <v>10000</v>
      </c>
      <c r="D19" s="119" t="s">
        <v>33</v>
      </c>
      <c r="E19" s="121"/>
      <c r="F19" s="121"/>
      <c r="G19" s="121"/>
      <c r="H19" s="589">
        <v>360000</v>
      </c>
    </row>
    <row r="20" spans="1:8">
      <c r="A20" s="587" t="s">
        <v>536</v>
      </c>
      <c r="B20" s="119">
        <v>1</v>
      </c>
      <c r="C20" s="122">
        <v>10000</v>
      </c>
      <c r="D20" s="119" t="s">
        <v>33</v>
      </c>
      <c r="E20" s="121"/>
      <c r="F20" s="121"/>
      <c r="G20" s="121"/>
      <c r="H20" s="589">
        <v>120000</v>
      </c>
    </row>
    <row r="21" spans="1:8">
      <c r="A21" s="587" t="s">
        <v>537</v>
      </c>
      <c r="B21" s="119">
        <v>2</v>
      </c>
      <c r="C21" s="122">
        <v>12000</v>
      </c>
      <c r="D21" s="119" t="s">
        <v>33</v>
      </c>
      <c r="E21" s="121"/>
      <c r="F21" s="121"/>
      <c r="G21" s="121"/>
      <c r="H21" s="589">
        <v>288000</v>
      </c>
    </row>
    <row r="22" spans="1:8">
      <c r="A22" s="587" t="s">
        <v>538</v>
      </c>
      <c r="B22" s="119">
        <v>3</v>
      </c>
      <c r="C22" s="122">
        <v>10000</v>
      </c>
      <c r="D22" s="119" t="s">
        <v>33</v>
      </c>
      <c r="E22" s="121"/>
      <c r="F22" s="121"/>
      <c r="G22" s="121"/>
      <c r="H22" s="589">
        <v>360000</v>
      </c>
    </row>
    <row r="23" spans="1:8" ht="33.75">
      <c r="A23" s="587" t="s">
        <v>539</v>
      </c>
      <c r="B23" s="119">
        <v>1</v>
      </c>
      <c r="C23" s="122">
        <v>12500</v>
      </c>
      <c r="D23" s="119" t="s">
        <v>33</v>
      </c>
      <c r="E23" s="121"/>
      <c r="F23" s="121"/>
      <c r="G23" s="121"/>
      <c r="H23" s="589">
        <v>150000</v>
      </c>
    </row>
    <row r="24" spans="1:8" ht="22.5">
      <c r="A24" s="587" t="s">
        <v>540</v>
      </c>
      <c r="B24" s="119">
        <v>1</v>
      </c>
      <c r="C24" s="120">
        <v>12000</v>
      </c>
      <c r="D24" s="119" t="s">
        <v>33</v>
      </c>
      <c r="E24" s="121"/>
      <c r="F24" s="121"/>
      <c r="G24" s="121"/>
      <c r="H24" s="589">
        <v>144000</v>
      </c>
    </row>
    <row r="25" spans="1:8" ht="22.5">
      <c r="A25" s="587" t="s">
        <v>541</v>
      </c>
      <c r="B25" s="119">
        <v>1</v>
      </c>
      <c r="C25" s="120">
        <v>20000</v>
      </c>
      <c r="D25" s="119" t="s">
        <v>33</v>
      </c>
      <c r="E25" s="121"/>
      <c r="F25" s="121"/>
      <c r="G25" s="121"/>
      <c r="H25" s="589">
        <v>240000</v>
      </c>
    </row>
    <row r="26" spans="1:8" ht="22.5">
      <c r="A26" s="587" t="s">
        <v>542</v>
      </c>
      <c r="B26" s="119">
        <v>1</v>
      </c>
      <c r="C26" s="122">
        <v>14000</v>
      </c>
      <c r="D26" s="119" t="s">
        <v>33</v>
      </c>
      <c r="E26" s="121"/>
      <c r="F26" s="121"/>
      <c r="G26" s="121"/>
      <c r="H26" s="589">
        <v>168000</v>
      </c>
    </row>
    <row r="27" spans="1:8">
      <c r="A27" s="587" t="s">
        <v>543</v>
      </c>
      <c r="B27" s="119">
        <v>2</v>
      </c>
      <c r="C27" s="120">
        <v>15000</v>
      </c>
      <c r="D27" s="119" t="s">
        <v>33</v>
      </c>
      <c r="E27" s="121"/>
      <c r="F27" s="121"/>
      <c r="G27" s="121"/>
      <c r="H27" s="589">
        <v>360000</v>
      </c>
    </row>
    <row r="28" spans="1:8" ht="22.5">
      <c r="A28" s="587" t="s">
        <v>544</v>
      </c>
      <c r="B28" s="119">
        <v>1</v>
      </c>
      <c r="C28" s="120">
        <v>16500</v>
      </c>
      <c r="D28" s="119" t="s">
        <v>33</v>
      </c>
      <c r="E28" s="121"/>
      <c r="F28" s="121"/>
      <c r="G28" s="121"/>
      <c r="H28" s="589">
        <v>198000</v>
      </c>
    </row>
    <row r="29" spans="1:8" ht="22.5">
      <c r="A29" s="587" t="s">
        <v>540</v>
      </c>
      <c r="B29" s="119">
        <v>1</v>
      </c>
      <c r="C29" s="122">
        <v>11000</v>
      </c>
      <c r="D29" s="119" t="s">
        <v>33</v>
      </c>
      <c r="E29" s="121"/>
      <c r="F29" s="121"/>
      <c r="G29" s="121"/>
      <c r="H29" s="589">
        <v>132000</v>
      </c>
    </row>
    <row r="30" spans="1:8" ht="33.75">
      <c r="A30" s="587" t="s">
        <v>539</v>
      </c>
      <c r="B30" s="119">
        <v>3</v>
      </c>
      <c r="C30" s="122">
        <v>11920</v>
      </c>
      <c r="D30" s="119" t="s">
        <v>33</v>
      </c>
      <c r="E30" s="121"/>
      <c r="F30" s="121"/>
      <c r="G30" s="121"/>
      <c r="H30" s="589">
        <v>429120</v>
      </c>
    </row>
    <row r="31" spans="1:8" ht="22.5">
      <c r="A31" s="587" t="s">
        <v>544</v>
      </c>
      <c r="B31" s="119">
        <v>2</v>
      </c>
      <c r="C31" s="122">
        <v>11000</v>
      </c>
      <c r="D31" s="119" t="s">
        <v>33</v>
      </c>
      <c r="E31" s="121"/>
      <c r="F31" s="121"/>
      <c r="G31" s="121"/>
      <c r="H31" s="589">
        <v>264000</v>
      </c>
    </row>
    <row r="32" spans="1:8" ht="22.5">
      <c r="A32" s="587" t="s">
        <v>544</v>
      </c>
      <c r="B32" s="119">
        <v>4</v>
      </c>
      <c r="C32" s="122">
        <v>9000</v>
      </c>
      <c r="D32" s="119" t="s">
        <v>33</v>
      </c>
      <c r="E32" s="121"/>
      <c r="F32" s="121"/>
      <c r="G32" s="121"/>
      <c r="H32" s="589">
        <v>432000</v>
      </c>
    </row>
    <row r="33" spans="1:8">
      <c r="A33" s="587" t="s">
        <v>534</v>
      </c>
      <c r="B33" s="119">
        <v>1</v>
      </c>
      <c r="C33" s="122">
        <v>12000</v>
      </c>
      <c r="D33" s="119" t="s">
        <v>33</v>
      </c>
      <c r="E33" s="121"/>
      <c r="F33" s="121"/>
      <c r="G33" s="121"/>
      <c r="H33" s="589">
        <v>144000</v>
      </c>
    </row>
    <row r="34" spans="1:8">
      <c r="A34" s="587" t="s">
        <v>534</v>
      </c>
      <c r="B34" s="119">
        <v>1</v>
      </c>
      <c r="C34" s="122">
        <v>11000</v>
      </c>
      <c r="D34" s="119" t="s">
        <v>33</v>
      </c>
      <c r="E34" s="121"/>
      <c r="F34" s="121"/>
      <c r="G34" s="121"/>
      <c r="H34" s="589">
        <v>132000</v>
      </c>
    </row>
    <row r="35" spans="1:8">
      <c r="A35" s="587" t="s">
        <v>534</v>
      </c>
      <c r="B35" s="119">
        <v>1</v>
      </c>
      <c r="C35" s="122">
        <v>10000</v>
      </c>
      <c r="D35" s="119" t="s">
        <v>33</v>
      </c>
      <c r="E35" s="121"/>
      <c r="F35" s="121"/>
      <c r="G35" s="121"/>
      <c r="H35" s="589">
        <v>120000</v>
      </c>
    </row>
    <row r="36" spans="1:8" ht="22.5">
      <c r="A36" s="587" t="s">
        <v>544</v>
      </c>
      <c r="B36" s="119">
        <v>3</v>
      </c>
      <c r="C36" s="122">
        <v>15000</v>
      </c>
      <c r="D36" s="119" t="s">
        <v>33</v>
      </c>
      <c r="E36" s="121"/>
      <c r="F36" s="121"/>
      <c r="G36" s="121"/>
      <c r="H36" s="589">
        <v>540000</v>
      </c>
    </row>
    <row r="37" spans="1:8" ht="22.5">
      <c r="A37" s="587" t="s">
        <v>544</v>
      </c>
      <c r="B37" s="119">
        <v>3</v>
      </c>
      <c r="C37" s="122">
        <v>11920</v>
      </c>
      <c r="D37" s="119" t="s">
        <v>33</v>
      </c>
      <c r="E37" s="121"/>
      <c r="F37" s="121"/>
      <c r="G37" s="121"/>
      <c r="H37" s="589">
        <v>429120</v>
      </c>
    </row>
    <row r="38" spans="1:8" ht="22.5">
      <c r="A38" s="587" t="s">
        <v>544</v>
      </c>
      <c r="B38" s="119">
        <v>3</v>
      </c>
      <c r="C38" s="120">
        <v>16000</v>
      </c>
      <c r="D38" s="119" t="s">
        <v>33</v>
      </c>
      <c r="E38" s="121"/>
      <c r="F38" s="121"/>
      <c r="G38" s="121"/>
      <c r="H38" s="589">
        <v>576000</v>
      </c>
    </row>
    <row r="39" spans="1:8" ht="22.5">
      <c r="A39" s="587" t="s">
        <v>545</v>
      </c>
      <c r="B39" s="119">
        <v>1</v>
      </c>
      <c r="C39" s="120">
        <v>11000</v>
      </c>
      <c r="D39" s="119" t="s">
        <v>33</v>
      </c>
      <c r="E39" s="121"/>
      <c r="F39" s="121"/>
      <c r="G39" s="121"/>
      <c r="H39" s="589">
        <v>132000</v>
      </c>
    </row>
    <row r="40" spans="1:8">
      <c r="A40" s="587" t="s">
        <v>536</v>
      </c>
      <c r="B40" s="119">
        <v>1</v>
      </c>
      <c r="C40" s="120">
        <v>9000</v>
      </c>
      <c r="D40" s="119" t="s">
        <v>33</v>
      </c>
      <c r="E40" s="121"/>
      <c r="F40" s="121"/>
      <c r="G40" s="121"/>
      <c r="H40" s="589">
        <v>108000</v>
      </c>
    </row>
    <row r="41" spans="1:8" ht="22.5">
      <c r="A41" s="587" t="s">
        <v>544</v>
      </c>
      <c r="B41" s="119">
        <v>1</v>
      </c>
      <c r="C41" s="120">
        <v>13920</v>
      </c>
      <c r="D41" s="119" t="s">
        <v>33</v>
      </c>
      <c r="E41" s="121"/>
      <c r="F41" s="121"/>
      <c r="G41" s="121"/>
      <c r="H41" s="589">
        <v>167040</v>
      </c>
    </row>
    <row r="42" spans="1:8" ht="22.5">
      <c r="A42" s="587" t="s">
        <v>544</v>
      </c>
      <c r="B42" s="119">
        <v>3</v>
      </c>
      <c r="C42" s="120">
        <v>17000</v>
      </c>
      <c r="D42" s="119" t="s">
        <v>33</v>
      </c>
      <c r="E42" s="121"/>
      <c r="F42" s="121"/>
      <c r="G42" s="121"/>
      <c r="H42" s="589">
        <v>612000</v>
      </c>
    </row>
    <row r="43" spans="1:8">
      <c r="A43" s="587" t="s">
        <v>536</v>
      </c>
      <c r="B43" s="119">
        <v>1</v>
      </c>
      <c r="C43" s="120">
        <v>12000</v>
      </c>
      <c r="D43" s="119" t="s">
        <v>33</v>
      </c>
      <c r="E43" s="121"/>
      <c r="F43" s="121"/>
      <c r="G43" s="121"/>
      <c r="H43" s="589">
        <v>144000</v>
      </c>
    </row>
    <row r="44" spans="1:8">
      <c r="A44" s="587" t="s">
        <v>130</v>
      </c>
      <c r="B44" s="119">
        <v>1</v>
      </c>
      <c r="C44" s="120">
        <v>12000</v>
      </c>
      <c r="D44" s="119" t="s">
        <v>33</v>
      </c>
      <c r="E44" s="121"/>
      <c r="F44" s="121"/>
      <c r="G44" s="121"/>
      <c r="H44" s="589">
        <v>144000</v>
      </c>
    </row>
    <row r="45" spans="1:8">
      <c r="A45" s="587" t="s">
        <v>130</v>
      </c>
      <c r="B45" s="119">
        <v>1</v>
      </c>
      <c r="C45" s="120">
        <v>14500</v>
      </c>
      <c r="D45" s="119" t="s">
        <v>33</v>
      </c>
      <c r="E45" s="121"/>
      <c r="F45" s="121"/>
      <c r="G45" s="121"/>
      <c r="H45" s="589">
        <v>174000</v>
      </c>
    </row>
    <row r="46" spans="1:8">
      <c r="A46" s="587" t="s">
        <v>130</v>
      </c>
      <c r="B46" s="119">
        <v>2</v>
      </c>
      <c r="C46" s="122">
        <v>13000</v>
      </c>
      <c r="D46" s="119" t="s">
        <v>33</v>
      </c>
      <c r="E46" s="121"/>
      <c r="F46" s="121"/>
      <c r="G46" s="121"/>
      <c r="H46" s="589">
        <v>312000</v>
      </c>
    </row>
    <row r="47" spans="1:8">
      <c r="A47" s="587" t="s">
        <v>130</v>
      </c>
      <c r="B47" s="119">
        <v>2</v>
      </c>
      <c r="C47" s="122">
        <v>11000</v>
      </c>
      <c r="D47" s="119" t="s">
        <v>33</v>
      </c>
      <c r="E47" s="121"/>
      <c r="F47" s="121"/>
      <c r="G47" s="121"/>
      <c r="H47" s="589">
        <v>264000</v>
      </c>
    </row>
    <row r="48" spans="1:8">
      <c r="A48" s="587" t="s">
        <v>130</v>
      </c>
      <c r="B48" s="119">
        <v>1</v>
      </c>
      <c r="C48" s="120">
        <v>20000</v>
      </c>
      <c r="D48" s="119" t="s">
        <v>33</v>
      </c>
      <c r="E48" s="121"/>
      <c r="F48" s="121"/>
      <c r="G48" s="121"/>
      <c r="H48" s="589">
        <v>240000</v>
      </c>
    </row>
    <row r="49" spans="1:8">
      <c r="A49" s="587" t="s">
        <v>130</v>
      </c>
      <c r="B49" s="119">
        <v>3</v>
      </c>
      <c r="C49" s="122">
        <v>13000</v>
      </c>
      <c r="D49" s="119" t="s">
        <v>33</v>
      </c>
      <c r="E49" s="121"/>
      <c r="F49" s="121"/>
      <c r="G49" s="121"/>
      <c r="H49" s="589">
        <v>468000</v>
      </c>
    </row>
    <row r="50" spans="1:8" ht="22.5">
      <c r="A50" s="587" t="s">
        <v>546</v>
      </c>
      <c r="B50" s="119">
        <v>1</v>
      </c>
      <c r="C50" s="122">
        <v>9500</v>
      </c>
      <c r="D50" s="119" t="s">
        <v>33</v>
      </c>
      <c r="E50" s="121"/>
      <c r="F50" s="121"/>
      <c r="G50" s="121"/>
      <c r="H50" s="589">
        <v>114000</v>
      </c>
    </row>
    <row r="51" spans="1:8" ht="22.5">
      <c r="A51" s="587" t="s">
        <v>547</v>
      </c>
      <c r="B51" s="119">
        <v>1</v>
      </c>
      <c r="C51" s="120">
        <v>7000</v>
      </c>
      <c r="D51" s="119" t="s">
        <v>33</v>
      </c>
      <c r="E51" s="121"/>
      <c r="F51" s="121"/>
      <c r="G51" s="121"/>
      <c r="H51" s="589">
        <v>84000</v>
      </c>
    </row>
    <row r="52" spans="1:8">
      <c r="A52" s="587" t="s">
        <v>548</v>
      </c>
      <c r="B52" s="119">
        <v>1</v>
      </c>
      <c r="C52" s="122">
        <v>7500</v>
      </c>
      <c r="D52" s="119" t="s">
        <v>33</v>
      </c>
      <c r="E52" s="121"/>
      <c r="F52" s="121"/>
      <c r="G52" s="121"/>
      <c r="H52" s="589">
        <v>90000</v>
      </c>
    </row>
    <row r="53" spans="1:8">
      <c r="A53" s="587" t="s">
        <v>548</v>
      </c>
      <c r="B53" s="119">
        <v>2</v>
      </c>
      <c r="C53" s="120">
        <v>6000</v>
      </c>
      <c r="D53" s="119" t="s">
        <v>33</v>
      </c>
      <c r="E53" s="121"/>
      <c r="F53" s="121"/>
      <c r="G53" s="121"/>
      <c r="H53" s="589">
        <v>144000</v>
      </c>
    </row>
    <row r="54" spans="1:8">
      <c r="A54" s="587" t="s">
        <v>549</v>
      </c>
      <c r="B54" s="119">
        <v>2</v>
      </c>
      <c r="C54" s="120">
        <v>2500</v>
      </c>
      <c r="D54" s="119" t="s">
        <v>33</v>
      </c>
      <c r="E54" s="121"/>
      <c r="F54" s="121"/>
      <c r="G54" s="121"/>
      <c r="H54" s="589">
        <v>60000</v>
      </c>
    </row>
    <row r="55" spans="1:8">
      <c r="A55" s="587" t="s">
        <v>549</v>
      </c>
      <c r="B55" s="119">
        <v>6</v>
      </c>
      <c r="C55" s="120">
        <v>3000</v>
      </c>
      <c r="D55" s="119" t="s">
        <v>33</v>
      </c>
      <c r="E55" s="121"/>
      <c r="F55" s="121"/>
      <c r="G55" s="121"/>
      <c r="H55" s="589">
        <v>216000</v>
      </c>
    </row>
    <row r="56" spans="1:8">
      <c r="A56" s="587" t="s">
        <v>549</v>
      </c>
      <c r="B56" s="119">
        <v>1</v>
      </c>
      <c r="C56" s="120">
        <v>3500</v>
      </c>
      <c r="D56" s="119" t="s">
        <v>33</v>
      </c>
      <c r="E56" s="121"/>
      <c r="F56" s="121"/>
      <c r="G56" s="121"/>
      <c r="H56" s="589">
        <v>42000</v>
      </c>
    </row>
    <row r="57" spans="1:8">
      <c r="A57" s="587" t="s">
        <v>549</v>
      </c>
      <c r="B57" s="119">
        <v>1</v>
      </c>
      <c r="C57" s="122">
        <v>3800</v>
      </c>
      <c r="D57" s="119" t="s">
        <v>33</v>
      </c>
      <c r="E57" s="121"/>
      <c r="F57" s="121"/>
      <c r="G57" s="121"/>
      <c r="H57" s="589">
        <v>45600</v>
      </c>
    </row>
    <row r="58" spans="1:8">
      <c r="A58" s="587" t="s">
        <v>549</v>
      </c>
      <c r="B58" s="119">
        <v>4</v>
      </c>
      <c r="C58" s="122">
        <v>4000</v>
      </c>
      <c r="D58" s="119" t="s">
        <v>33</v>
      </c>
      <c r="E58" s="121"/>
      <c r="F58" s="121"/>
      <c r="G58" s="121"/>
      <c r="H58" s="589">
        <v>192000</v>
      </c>
    </row>
    <row r="59" spans="1:8">
      <c r="A59" s="587" t="s">
        <v>549</v>
      </c>
      <c r="B59" s="119">
        <v>2</v>
      </c>
      <c r="C59" s="122">
        <v>4800</v>
      </c>
      <c r="D59" s="119" t="s">
        <v>33</v>
      </c>
      <c r="E59" s="121"/>
      <c r="F59" s="121"/>
      <c r="G59" s="121"/>
      <c r="H59" s="589">
        <v>115200</v>
      </c>
    </row>
    <row r="60" spans="1:8">
      <c r="A60" s="587" t="s">
        <v>549</v>
      </c>
      <c r="B60" s="119">
        <v>16</v>
      </c>
      <c r="C60" s="120">
        <v>5000</v>
      </c>
      <c r="D60" s="119" t="s">
        <v>33</v>
      </c>
      <c r="E60" s="121"/>
      <c r="F60" s="121"/>
      <c r="G60" s="121"/>
      <c r="H60" s="589">
        <v>960000</v>
      </c>
    </row>
    <row r="61" spans="1:8">
      <c r="A61" s="587" t="s">
        <v>549</v>
      </c>
      <c r="B61" s="119">
        <v>1</v>
      </c>
      <c r="C61" s="120">
        <v>5400</v>
      </c>
      <c r="D61" s="119" t="s">
        <v>33</v>
      </c>
      <c r="E61" s="121"/>
      <c r="F61" s="121"/>
      <c r="G61" s="121"/>
      <c r="H61" s="589">
        <v>64800</v>
      </c>
    </row>
    <row r="62" spans="1:8">
      <c r="A62" s="587" t="s">
        <v>549</v>
      </c>
      <c r="B62" s="119">
        <v>9</v>
      </c>
      <c r="C62" s="120">
        <v>6000</v>
      </c>
      <c r="D62" s="119" t="s">
        <v>33</v>
      </c>
      <c r="E62" s="121"/>
      <c r="F62" s="121"/>
      <c r="G62" s="121"/>
      <c r="H62" s="589">
        <v>648000</v>
      </c>
    </row>
    <row r="63" spans="1:8">
      <c r="A63" s="587" t="s">
        <v>549</v>
      </c>
      <c r="B63" s="119">
        <v>4</v>
      </c>
      <c r="C63" s="120">
        <v>6500</v>
      </c>
      <c r="D63" s="119" t="s">
        <v>33</v>
      </c>
      <c r="E63" s="121"/>
      <c r="F63" s="121"/>
      <c r="G63" s="121"/>
      <c r="H63" s="589">
        <v>312000</v>
      </c>
    </row>
    <row r="64" spans="1:8">
      <c r="A64" s="587" t="s">
        <v>549</v>
      </c>
      <c r="B64" s="119">
        <v>4</v>
      </c>
      <c r="C64" s="122">
        <v>6850</v>
      </c>
      <c r="D64" s="119" t="s">
        <v>33</v>
      </c>
      <c r="E64" s="121"/>
      <c r="F64" s="121"/>
      <c r="G64" s="121"/>
      <c r="H64" s="589">
        <v>328800</v>
      </c>
    </row>
    <row r="65" spans="1:8">
      <c r="A65" s="587" t="s">
        <v>549</v>
      </c>
      <c r="B65" s="119">
        <v>6</v>
      </c>
      <c r="C65" s="122">
        <v>7000</v>
      </c>
      <c r="D65" s="119" t="s">
        <v>33</v>
      </c>
      <c r="E65" s="121"/>
      <c r="F65" s="121"/>
      <c r="G65" s="121"/>
      <c r="H65" s="589">
        <v>504000</v>
      </c>
    </row>
    <row r="66" spans="1:8">
      <c r="A66" s="587" t="s">
        <v>549</v>
      </c>
      <c r="B66" s="119">
        <v>5</v>
      </c>
      <c r="C66" s="122">
        <v>7500</v>
      </c>
      <c r="D66" s="119" t="s">
        <v>33</v>
      </c>
      <c r="E66" s="121"/>
      <c r="F66" s="121"/>
      <c r="G66" s="121"/>
      <c r="H66" s="589">
        <v>450000</v>
      </c>
    </row>
    <row r="67" spans="1:8">
      <c r="A67" s="587" t="s">
        <v>549</v>
      </c>
      <c r="B67" s="119">
        <v>7</v>
      </c>
      <c r="C67" s="120">
        <v>8000</v>
      </c>
      <c r="D67" s="119" t="s">
        <v>33</v>
      </c>
      <c r="E67" s="121"/>
      <c r="F67" s="121"/>
      <c r="G67" s="121"/>
      <c r="H67" s="589">
        <v>672000</v>
      </c>
    </row>
    <row r="68" spans="1:8">
      <c r="A68" s="587" t="s">
        <v>549</v>
      </c>
      <c r="B68" s="119">
        <v>1</v>
      </c>
      <c r="C68" s="122">
        <v>8350</v>
      </c>
      <c r="D68" s="119" t="s">
        <v>33</v>
      </c>
      <c r="E68" s="121"/>
      <c r="F68" s="121"/>
      <c r="G68" s="121"/>
      <c r="H68" s="589">
        <v>100200</v>
      </c>
    </row>
    <row r="69" spans="1:8">
      <c r="A69" s="587" t="s">
        <v>549</v>
      </c>
      <c r="B69" s="119">
        <v>3</v>
      </c>
      <c r="C69" s="122">
        <v>9000</v>
      </c>
      <c r="D69" s="119" t="s">
        <v>33</v>
      </c>
      <c r="E69" s="121"/>
      <c r="F69" s="121"/>
      <c r="G69" s="121"/>
      <c r="H69" s="589">
        <v>324000</v>
      </c>
    </row>
    <row r="70" spans="1:8">
      <c r="A70" s="587" t="s">
        <v>549</v>
      </c>
      <c r="B70" s="119">
        <v>2</v>
      </c>
      <c r="C70" s="122">
        <v>9500</v>
      </c>
      <c r="D70" s="119" t="s">
        <v>33</v>
      </c>
      <c r="E70" s="121"/>
      <c r="F70" s="121"/>
      <c r="G70" s="121"/>
      <c r="H70" s="589">
        <v>228000</v>
      </c>
    </row>
    <row r="71" spans="1:8">
      <c r="A71" s="587" t="s">
        <v>549</v>
      </c>
      <c r="B71" s="119">
        <v>5</v>
      </c>
      <c r="C71" s="122">
        <v>10000</v>
      </c>
      <c r="D71" s="119" t="s">
        <v>33</v>
      </c>
      <c r="E71" s="121"/>
      <c r="F71" s="121"/>
      <c r="G71" s="121"/>
      <c r="H71" s="589">
        <v>600000</v>
      </c>
    </row>
    <row r="72" spans="1:8">
      <c r="A72" s="587" t="s">
        <v>549</v>
      </c>
      <c r="B72" s="119">
        <v>1</v>
      </c>
      <c r="C72" s="120">
        <v>10500</v>
      </c>
      <c r="D72" s="119" t="s">
        <v>33</v>
      </c>
      <c r="E72" s="121"/>
      <c r="F72" s="121"/>
      <c r="G72" s="121"/>
      <c r="H72" s="589">
        <v>126000</v>
      </c>
    </row>
    <row r="73" spans="1:8">
      <c r="A73" s="587" t="s">
        <v>549</v>
      </c>
      <c r="B73" s="119">
        <v>1</v>
      </c>
      <c r="C73" s="122">
        <v>11920</v>
      </c>
      <c r="D73" s="119" t="s">
        <v>33</v>
      </c>
      <c r="E73" s="121"/>
      <c r="F73" s="121"/>
      <c r="G73" s="121"/>
      <c r="H73" s="589">
        <v>143040</v>
      </c>
    </row>
    <row r="74" spans="1:8">
      <c r="A74" s="587" t="s">
        <v>549</v>
      </c>
      <c r="B74" s="119">
        <v>3</v>
      </c>
      <c r="C74" s="122">
        <v>12000</v>
      </c>
      <c r="D74" s="119" t="s">
        <v>33</v>
      </c>
      <c r="E74" s="121"/>
      <c r="F74" s="121"/>
      <c r="G74" s="121"/>
      <c r="H74" s="589">
        <v>432000</v>
      </c>
    </row>
    <row r="75" spans="1:8">
      <c r="A75" s="587" t="s">
        <v>549</v>
      </c>
      <c r="B75" s="119">
        <v>1</v>
      </c>
      <c r="C75" s="122">
        <v>12250</v>
      </c>
      <c r="D75" s="119" t="s">
        <v>33</v>
      </c>
      <c r="E75" s="121"/>
      <c r="F75" s="121"/>
      <c r="G75" s="121"/>
      <c r="H75" s="589">
        <v>147000</v>
      </c>
    </row>
    <row r="76" spans="1:8">
      <c r="A76" s="587" t="s">
        <v>549</v>
      </c>
      <c r="B76" s="119">
        <v>1</v>
      </c>
      <c r="C76" s="120">
        <v>14500</v>
      </c>
      <c r="D76" s="119" t="s">
        <v>33</v>
      </c>
      <c r="E76" s="121"/>
      <c r="F76" s="121"/>
      <c r="G76" s="121"/>
      <c r="H76" s="589">
        <v>174000</v>
      </c>
    </row>
    <row r="77" spans="1:8">
      <c r="A77" s="587" t="s">
        <v>549</v>
      </c>
      <c r="B77" s="119">
        <v>3</v>
      </c>
      <c r="C77" s="122">
        <v>15000</v>
      </c>
      <c r="D77" s="119" t="s">
        <v>33</v>
      </c>
      <c r="E77" s="121"/>
      <c r="F77" s="121"/>
      <c r="G77" s="121"/>
      <c r="H77" s="589">
        <v>540000</v>
      </c>
    </row>
    <row r="78" spans="1:8">
      <c r="A78" s="587" t="s">
        <v>549</v>
      </c>
      <c r="B78" s="119">
        <v>2</v>
      </c>
      <c r="C78" s="120">
        <v>17000</v>
      </c>
      <c r="D78" s="119" t="s">
        <v>33</v>
      </c>
      <c r="E78" s="121"/>
      <c r="F78" s="121"/>
      <c r="G78" s="121"/>
      <c r="H78" s="589">
        <v>408000</v>
      </c>
    </row>
    <row r="79" spans="1:8">
      <c r="A79" s="587" t="s">
        <v>549</v>
      </c>
      <c r="B79" s="119">
        <v>1</v>
      </c>
      <c r="C79" s="120">
        <v>18000</v>
      </c>
      <c r="D79" s="119" t="s">
        <v>33</v>
      </c>
      <c r="E79" s="121"/>
      <c r="F79" s="121"/>
      <c r="G79" s="121"/>
      <c r="H79" s="589">
        <v>216000</v>
      </c>
    </row>
    <row r="80" spans="1:8">
      <c r="A80" s="587" t="s">
        <v>549</v>
      </c>
      <c r="B80" s="119">
        <v>3</v>
      </c>
      <c r="C80" s="122">
        <v>20000</v>
      </c>
      <c r="D80" s="119" t="s">
        <v>33</v>
      </c>
      <c r="E80" s="121"/>
      <c r="F80" s="121"/>
      <c r="G80" s="121"/>
      <c r="H80" s="589">
        <v>720000</v>
      </c>
    </row>
    <row r="81" spans="1:8">
      <c r="A81" s="587" t="s">
        <v>549</v>
      </c>
      <c r="B81" s="119">
        <v>1</v>
      </c>
      <c r="C81" s="122">
        <v>21000</v>
      </c>
      <c r="D81" s="119" t="s">
        <v>33</v>
      </c>
      <c r="E81" s="121"/>
      <c r="F81" s="121"/>
      <c r="G81" s="121"/>
      <c r="H81" s="589">
        <v>252000</v>
      </c>
    </row>
    <row r="82" spans="1:8">
      <c r="A82" s="587" t="s">
        <v>550</v>
      </c>
      <c r="B82" s="119">
        <v>1</v>
      </c>
      <c r="C82" s="120">
        <v>8500</v>
      </c>
      <c r="D82" s="119" t="s">
        <v>33</v>
      </c>
      <c r="E82" s="121"/>
      <c r="F82" s="121"/>
      <c r="G82" s="121"/>
      <c r="H82" s="589">
        <v>102000</v>
      </c>
    </row>
    <row r="83" spans="1:8">
      <c r="A83" s="587" t="s">
        <v>550</v>
      </c>
      <c r="B83" s="119">
        <v>1</v>
      </c>
      <c r="C83" s="122">
        <v>9500</v>
      </c>
      <c r="D83" s="119" t="s">
        <v>33</v>
      </c>
      <c r="E83" s="121"/>
      <c r="F83" s="121"/>
      <c r="G83" s="121"/>
      <c r="H83" s="589">
        <v>114000</v>
      </c>
    </row>
    <row r="84" spans="1:8">
      <c r="A84" s="587" t="s">
        <v>551</v>
      </c>
      <c r="B84" s="119">
        <v>1</v>
      </c>
      <c r="C84" s="122">
        <v>6500</v>
      </c>
      <c r="D84" s="119" t="s">
        <v>33</v>
      </c>
      <c r="E84" s="121"/>
      <c r="F84" s="121"/>
      <c r="G84" s="121"/>
      <c r="H84" s="589">
        <v>78000</v>
      </c>
    </row>
    <row r="85" spans="1:8">
      <c r="A85" s="587" t="s">
        <v>551</v>
      </c>
      <c r="B85" s="119">
        <v>1</v>
      </c>
      <c r="C85" s="122">
        <v>9500</v>
      </c>
      <c r="D85" s="119" t="s">
        <v>33</v>
      </c>
      <c r="E85" s="121"/>
      <c r="F85" s="121"/>
      <c r="G85" s="121"/>
      <c r="H85" s="589">
        <v>114000</v>
      </c>
    </row>
    <row r="86" spans="1:8">
      <c r="A86" s="587" t="s">
        <v>552</v>
      </c>
      <c r="B86" s="119">
        <v>1</v>
      </c>
      <c r="C86" s="122">
        <v>9000</v>
      </c>
      <c r="D86" s="119" t="s">
        <v>33</v>
      </c>
      <c r="E86" s="121"/>
      <c r="F86" s="121"/>
      <c r="G86" s="121"/>
      <c r="H86" s="589">
        <v>108000</v>
      </c>
    </row>
    <row r="87" spans="1:8" ht="22.5">
      <c r="A87" s="587" t="s">
        <v>553</v>
      </c>
      <c r="B87" s="119">
        <v>1</v>
      </c>
      <c r="C87" s="122">
        <v>8000</v>
      </c>
      <c r="D87" s="119" t="s">
        <v>33</v>
      </c>
      <c r="E87" s="121"/>
      <c r="F87" s="121"/>
      <c r="G87" s="121"/>
      <c r="H87" s="589">
        <v>96000</v>
      </c>
    </row>
    <row r="88" spans="1:8" ht="22.5">
      <c r="A88" s="587" t="s">
        <v>554</v>
      </c>
      <c r="B88" s="119">
        <v>1</v>
      </c>
      <c r="C88" s="120">
        <v>6000</v>
      </c>
      <c r="D88" s="119" t="s">
        <v>33</v>
      </c>
      <c r="E88" s="121"/>
      <c r="F88" s="121"/>
      <c r="G88" s="121"/>
      <c r="H88" s="589">
        <v>72000</v>
      </c>
    </row>
    <row r="89" spans="1:8" ht="22.5">
      <c r="A89" s="587" t="s">
        <v>554</v>
      </c>
      <c r="B89" s="119">
        <v>1</v>
      </c>
      <c r="C89" s="120">
        <v>10000</v>
      </c>
      <c r="D89" s="119" t="s">
        <v>33</v>
      </c>
      <c r="E89" s="121"/>
      <c r="F89" s="121"/>
      <c r="G89" s="121"/>
      <c r="H89" s="589">
        <v>120000</v>
      </c>
    </row>
    <row r="90" spans="1:8" ht="22.5">
      <c r="A90" s="587" t="s">
        <v>554</v>
      </c>
      <c r="B90" s="119">
        <v>2</v>
      </c>
      <c r="C90" s="120">
        <v>7000</v>
      </c>
      <c r="D90" s="119" t="s">
        <v>33</v>
      </c>
      <c r="E90" s="121"/>
      <c r="F90" s="121"/>
      <c r="G90" s="121"/>
      <c r="H90" s="589">
        <v>168000</v>
      </c>
    </row>
    <row r="91" spans="1:8" ht="22.5">
      <c r="A91" s="587" t="s">
        <v>554</v>
      </c>
      <c r="B91" s="119">
        <v>3</v>
      </c>
      <c r="C91" s="120">
        <v>9000</v>
      </c>
      <c r="D91" s="119" t="s">
        <v>33</v>
      </c>
      <c r="E91" s="121"/>
      <c r="F91" s="121"/>
      <c r="G91" s="121"/>
      <c r="H91" s="589">
        <v>324000</v>
      </c>
    </row>
    <row r="92" spans="1:8">
      <c r="A92" s="587" t="s">
        <v>549</v>
      </c>
      <c r="B92" s="119">
        <v>1</v>
      </c>
      <c r="C92" s="122">
        <v>5500</v>
      </c>
      <c r="D92" s="119" t="s">
        <v>33</v>
      </c>
      <c r="E92" s="121"/>
      <c r="F92" s="121"/>
      <c r="G92" s="121"/>
      <c r="H92" s="589">
        <v>66000</v>
      </c>
    </row>
    <row r="93" spans="1:8" ht="22.5">
      <c r="A93" s="587" t="s">
        <v>555</v>
      </c>
      <c r="B93" s="119">
        <v>1</v>
      </c>
      <c r="C93" s="122">
        <v>7000</v>
      </c>
      <c r="D93" s="119" t="s">
        <v>33</v>
      </c>
      <c r="E93" s="121"/>
      <c r="F93" s="121"/>
      <c r="G93" s="121"/>
      <c r="H93" s="589">
        <v>84000</v>
      </c>
    </row>
    <row r="94" spans="1:8" ht="22.5">
      <c r="A94" s="587" t="s">
        <v>555</v>
      </c>
      <c r="B94" s="119">
        <v>2</v>
      </c>
      <c r="C94" s="122">
        <v>10000</v>
      </c>
      <c r="D94" s="119" t="s">
        <v>33</v>
      </c>
      <c r="E94" s="121"/>
      <c r="F94" s="121"/>
      <c r="G94" s="121"/>
      <c r="H94" s="589">
        <v>240000</v>
      </c>
    </row>
    <row r="95" spans="1:8" ht="22.5">
      <c r="A95" s="587" t="s">
        <v>555</v>
      </c>
      <c r="B95" s="119">
        <v>2</v>
      </c>
      <c r="C95" s="120">
        <v>8000</v>
      </c>
      <c r="D95" s="119" t="s">
        <v>33</v>
      </c>
      <c r="E95" s="121"/>
      <c r="F95" s="121"/>
      <c r="G95" s="121"/>
      <c r="H95" s="589">
        <v>192000</v>
      </c>
    </row>
    <row r="96" spans="1:8">
      <c r="A96" s="587" t="s">
        <v>556</v>
      </c>
      <c r="B96" s="119">
        <v>1</v>
      </c>
      <c r="C96" s="120">
        <v>8000</v>
      </c>
      <c r="D96" s="119" t="s">
        <v>33</v>
      </c>
      <c r="E96" s="121"/>
      <c r="F96" s="121"/>
      <c r="G96" s="121"/>
      <c r="H96" s="589">
        <v>96000</v>
      </c>
    </row>
    <row r="97" spans="1:8">
      <c r="A97" s="587" t="s">
        <v>556</v>
      </c>
      <c r="B97" s="119">
        <v>1</v>
      </c>
      <c r="C97" s="122">
        <v>6000</v>
      </c>
      <c r="D97" s="119" t="s">
        <v>33</v>
      </c>
      <c r="E97" s="121"/>
      <c r="F97" s="121"/>
      <c r="G97" s="121"/>
      <c r="H97" s="589">
        <v>72000</v>
      </c>
    </row>
    <row r="98" spans="1:8" ht="22.5">
      <c r="A98" s="587" t="s">
        <v>557</v>
      </c>
      <c r="B98" s="119">
        <v>1</v>
      </c>
      <c r="C98" s="122">
        <v>15000</v>
      </c>
      <c r="D98" s="119" t="s">
        <v>33</v>
      </c>
      <c r="E98" s="121"/>
      <c r="F98" s="121"/>
      <c r="G98" s="121"/>
      <c r="H98" s="589">
        <v>180000</v>
      </c>
    </row>
    <row r="99" spans="1:8" ht="33.75">
      <c r="A99" s="587" t="s">
        <v>558</v>
      </c>
      <c r="B99" s="119">
        <v>1</v>
      </c>
      <c r="C99" s="120">
        <v>12000</v>
      </c>
      <c r="D99" s="119" t="s">
        <v>33</v>
      </c>
      <c r="E99" s="121"/>
      <c r="F99" s="121"/>
      <c r="G99" s="121"/>
      <c r="H99" s="589">
        <v>144000</v>
      </c>
    </row>
    <row r="100" spans="1:8" ht="33.75">
      <c r="A100" s="587" t="s">
        <v>558</v>
      </c>
      <c r="B100" s="119">
        <v>1</v>
      </c>
      <c r="C100" s="120">
        <v>11920</v>
      </c>
      <c r="D100" s="119" t="s">
        <v>33</v>
      </c>
      <c r="E100" s="121"/>
      <c r="F100" s="121"/>
      <c r="G100" s="121"/>
      <c r="H100" s="589">
        <v>143040</v>
      </c>
    </row>
    <row r="101" spans="1:8" ht="33.75">
      <c r="A101" s="587" t="s">
        <v>558</v>
      </c>
      <c r="B101" s="119">
        <v>1</v>
      </c>
      <c r="C101" s="120">
        <v>11000</v>
      </c>
      <c r="D101" s="119" t="s">
        <v>33</v>
      </c>
      <c r="E101" s="121"/>
      <c r="F101" s="121"/>
      <c r="G101" s="121"/>
      <c r="H101" s="589">
        <v>132000</v>
      </c>
    </row>
    <row r="102" spans="1:8" ht="33.75">
      <c r="A102" s="587" t="s">
        <v>558</v>
      </c>
      <c r="B102" s="119">
        <v>1</v>
      </c>
      <c r="C102" s="120">
        <v>5000</v>
      </c>
      <c r="D102" s="119" t="s">
        <v>33</v>
      </c>
      <c r="E102" s="121"/>
      <c r="F102" s="121"/>
      <c r="G102" s="121"/>
      <c r="H102" s="589">
        <v>60000</v>
      </c>
    </row>
    <row r="103" spans="1:8" ht="22.5">
      <c r="A103" s="587" t="s">
        <v>555</v>
      </c>
      <c r="B103" s="119">
        <v>2</v>
      </c>
      <c r="C103" s="120">
        <v>10000</v>
      </c>
      <c r="D103" s="119" t="s">
        <v>33</v>
      </c>
      <c r="E103" s="121"/>
      <c r="F103" s="121"/>
      <c r="G103" s="121"/>
      <c r="H103" s="589">
        <v>240000</v>
      </c>
    </row>
    <row r="104" spans="1:8" ht="22.5">
      <c r="A104" s="587" t="s">
        <v>559</v>
      </c>
      <c r="B104" s="119">
        <v>4</v>
      </c>
      <c r="C104" s="122">
        <v>5000</v>
      </c>
      <c r="D104" s="119" t="s">
        <v>33</v>
      </c>
      <c r="E104" s="121"/>
      <c r="F104" s="121"/>
      <c r="G104" s="121"/>
      <c r="H104" s="589">
        <v>240000</v>
      </c>
    </row>
    <row r="105" spans="1:8" ht="22.5">
      <c r="A105" s="587" t="s">
        <v>560</v>
      </c>
      <c r="B105" s="119">
        <v>1</v>
      </c>
      <c r="C105" s="122">
        <v>8000</v>
      </c>
      <c r="D105" s="119" t="s">
        <v>33</v>
      </c>
      <c r="E105" s="121"/>
      <c r="F105" s="121"/>
      <c r="G105" s="121"/>
      <c r="H105" s="589">
        <v>96000</v>
      </c>
    </row>
    <row r="106" spans="1:8" ht="22.5">
      <c r="A106" s="587" t="s">
        <v>559</v>
      </c>
      <c r="B106" s="119">
        <v>1</v>
      </c>
      <c r="C106" s="122">
        <v>6000</v>
      </c>
      <c r="D106" s="119" t="s">
        <v>33</v>
      </c>
      <c r="E106" s="121"/>
      <c r="F106" s="121"/>
      <c r="G106" s="121"/>
      <c r="H106" s="589">
        <v>72000</v>
      </c>
    </row>
    <row r="107" spans="1:8" ht="22.5">
      <c r="A107" s="587" t="s">
        <v>559</v>
      </c>
      <c r="B107" s="119">
        <v>3</v>
      </c>
      <c r="C107" s="122">
        <v>7000</v>
      </c>
      <c r="D107" s="119" t="s">
        <v>33</v>
      </c>
      <c r="E107" s="121"/>
      <c r="F107" s="121"/>
      <c r="G107" s="121"/>
      <c r="H107" s="589">
        <v>252000</v>
      </c>
    </row>
    <row r="108" spans="1:8" ht="22.5">
      <c r="A108" s="587" t="s">
        <v>559</v>
      </c>
      <c r="B108" s="119">
        <v>2</v>
      </c>
      <c r="C108" s="120">
        <v>7500</v>
      </c>
      <c r="D108" s="119" t="s">
        <v>33</v>
      </c>
      <c r="E108" s="121"/>
      <c r="F108" s="121"/>
      <c r="G108" s="121"/>
      <c r="H108" s="589">
        <v>180000</v>
      </c>
    </row>
    <row r="109" spans="1:8" ht="22.5">
      <c r="A109" s="587" t="s">
        <v>559</v>
      </c>
      <c r="B109" s="119">
        <v>3</v>
      </c>
      <c r="C109" s="122">
        <v>8000</v>
      </c>
      <c r="D109" s="119" t="s">
        <v>33</v>
      </c>
      <c r="E109" s="121"/>
      <c r="F109" s="121"/>
      <c r="G109" s="121"/>
      <c r="H109" s="589">
        <v>288000</v>
      </c>
    </row>
    <row r="110" spans="1:8" ht="22.5">
      <c r="A110" s="587" t="s">
        <v>559</v>
      </c>
      <c r="B110" s="119">
        <v>2</v>
      </c>
      <c r="C110" s="122">
        <v>8500</v>
      </c>
      <c r="D110" s="119" t="s">
        <v>33</v>
      </c>
      <c r="E110" s="121"/>
      <c r="F110" s="121"/>
      <c r="G110" s="121"/>
      <c r="H110" s="589">
        <v>204000</v>
      </c>
    </row>
    <row r="111" spans="1:8" ht="22.5">
      <c r="A111" s="587" t="s">
        <v>559</v>
      </c>
      <c r="B111" s="119">
        <v>1</v>
      </c>
      <c r="C111" s="122">
        <v>9000</v>
      </c>
      <c r="D111" s="119" t="s">
        <v>33</v>
      </c>
      <c r="E111" s="121"/>
      <c r="F111" s="121"/>
      <c r="G111" s="121"/>
      <c r="H111" s="589">
        <v>108000</v>
      </c>
    </row>
    <row r="112" spans="1:8" ht="22.5">
      <c r="A112" s="587" t="s">
        <v>559</v>
      </c>
      <c r="B112" s="119">
        <v>3</v>
      </c>
      <c r="C112" s="122">
        <v>10000</v>
      </c>
      <c r="D112" s="119" t="s">
        <v>33</v>
      </c>
      <c r="E112" s="121"/>
      <c r="F112" s="121"/>
      <c r="G112" s="121"/>
      <c r="H112" s="589">
        <v>360000</v>
      </c>
    </row>
    <row r="113" spans="1:8" ht="22.5">
      <c r="A113" s="587" t="s">
        <v>559</v>
      </c>
      <c r="B113" s="119">
        <v>1</v>
      </c>
      <c r="C113" s="120">
        <v>10500</v>
      </c>
      <c r="D113" s="119" t="s">
        <v>33</v>
      </c>
      <c r="E113" s="121"/>
      <c r="F113" s="121"/>
      <c r="G113" s="121"/>
      <c r="H113" s="589">
        <v>126000</v>
      </c>
    </row>
    <row r="114" spans="1:8" ht="22.5">
      <c r="A114" s="587" t="s">
        <v>559</v>
      </c>
      <c r="B114" s="119">
        <v>3</v>
      </c>
      <c r="C114" s="122">
        <v>12000</v>
      </c>
      <c r="D114" s="119" t="s">
        <v>33</v>
      </c>
      <c r="E114" s="121"/>
      <c r="F114" s="121"/>
      <c r="G114" s="121"/>
      <c r="H114" s="589">
        <v>432000</v>
      </c>
    </row>
    <row r="115" spans="1:8" ht="22.5">
      <c r="A115" s="587" t="s">
        <v>559</v>
      </c>
      <c r="B115" s="119">
        <v>3</v>
      </c>
      <c r="C115" s="122">
        <v>15000</v>
      </c>
      <c r="D115" s="119" t="s">
        <v>33</v>
      </c>
      <c r="E115" s="121"/>
      <c r="F115" s="121"/>
      <c r="G115" s="121"/>
      <c r="H115" s="589">
        <v>540000</v>
      </c>
    </row>
    <row r="116" spans="1:8" ht="22.5">
      <c r="A116" s="587" t="s">
        <v>559</v>
      </c>
      <c r="B116" s="119">
        <v>1</v>
      </c>
      <c r="C116" s="122">
        <v>16000</v>
      </c>
      <c r="D116" s="119" t="s">
        <v>33</v>
      </c>
      <c r="E116" s="121"/>
      <c r="F116" s="121"/>
      <c r="G116" s="121"/>
      <c r="H116" s="589">
        <v>192000</v>
      </c>
    </row>
    <row r="117" spans="1:8" ht="22.5">
      <c r="A117" s="587" t="s">
        <v>559</v>
      </c>
      <c r="B117" s="119">
        <v>2</v>
      </c>
      <c r="C117" s="120">
        <v>20000</v>
      </c>
      <c r="D117" s="119" t="s">
        <v>33</v>
      </c>
      <c r="E117" s="121"/>
      <c r="F117" s="121"/>
      <c r="G117" s="121"/>
      <c r="H117" s="589">
        <v>480000</v>
      </c>
    </row>
    <row r="118" spans="1:8">
      <c r="A118" s="587" t="s">
        <v>561</v>
      </c>
      <c r="B118" s="119">
        <v>1</v>
      </c>
      <c r="C118" s="122">
        <v>9000</v>
      </c>
      <c r="D118" s="119" t="s">
        <v>33</v>
      </c>
      <c r="E118" s="121"/>
      <c r="F118" s="121"/>
      <c r="G118" s="121"/>
      <c r="H118" s="589">
        <v>108000</v>
      </c>
    </row>
    <row r="119" spans="1:8">
      <c r="A119" s="587" t="s">
        <v>562</v>
      </c>
      <c r="B119" s="119">
        <v>1</v>
      </c>
      <c r="C119" s="122">
        <v>10000</v>
      </c>
      <c r="D119" s="119" t="s">
        <v>33</v>
      </c>
      <c r="E119" s="121"/>
      <c r="F119" s="121"/>
      <c r="G119" s="121"/>
      <c r="H119" s="589">
        <v>120000</v>
      </c>
    </row>
    <row r="120" spans="1:8">
      <c r="A120" s="587" t="s">
        <v>562</v>
      </c>
      <c r="B120" s="119">
        <v>3</v>
      </c>
      <c r="C120" s="120">
        <v>7500</v>
      </c>
      <c r="D120" s="119" t="s">
        <v>33</v>
      </c>
      <c r="E120" s="121"/>
      <c r="F120" s="121"/>
      <c r="G120" s="121"/>
      <c r="H120" s="589">
        <v>270000</v>
      </c>
    </row>
    <row r="121" spans="1:8">
      <c r="A121" s="587" t="s">
        <v>562</v>
      </c>
      <c r="B121" s="119">
        <v>1</v>
      </c>
      <c r="C121" s="120">
        <v>6500</v>
      </c>
      <c r="D121" s="119" t="s">
        <v>33</v>
      </c>
      <c r="E121" s="121"/>
      <c r="F121" s="121"/>
      <c r="G121" s="121"/>
      <c r="H121" s="589">
        <v>78000</v>
      </c>
    </row>
    <row r="122" spans="1:8">
      <c r="A122" s="587" t="s">
        <v>563</v>
      </c>
      <c r="B122" s="119">
        <v>1</v>
      </c>
      <c r="C122" s="122">
        <v>13000</v>
      </c>
      <c r="D122" s="119" t="s">
        <v>33</v>
      </c>
      <c r="E122" s="121"/>
      <c r="F122" s="121"/>
      <c r="G122" s="121"/>
      <c r="H122" s="589">
        <v>156000</v>
      </c>
    </row>
    <row r="123" spans="1:8">
      <c r="A123" s="587" t="s">
        <v>562</v>
      </c>
      <c r="B123" s="119">
        <v>1</v>
      </c>
      <c r="C123" s="122">
        <v>5000</v>
      </c>
      <c r="D123" s="119" t="s">
        <v>33</v>
      </c>
      <c r="E123" s="121"/>
      <c r="F123" s="121"/>
      <c r="G123" s="121"/>
      <c r="H123" s="589">
        <v>60000</v>
      </c>
    </row>
    <row r="124" spans="1:8">
      <c r="A124" s="587" t="s">
        <v>562</v>
      </c>
      <c r="B124" s="119">
        <v>1</v>
      </c>
      <c r="C124" s="120">
        <v>9000</v>
      </c>
      <c r="D124" s="119" t="s">
        <v>33</v>
      </c>
      <c r="E124" s="121"/>
      <c r="F124" s="121"/>
      <c r="G124" s="121"/>
      <c r="H124" s="589">
        <v>108000</v>
      </c>
    </row>
    <row r="125" spans="1:8">
      <c r="A125" s="587" t="s">
        <v>564</v>
      </c>
      <c r="B125" s="119">
        <v>1</v>
      </c>
      <c r="C125" s="122">
        <v>2500</v>
      </c>
      <c r="D125" s="119" t="s">
        <v>33</v>
      </c>
      <c r="E125" s="121"/>
      <c r="F125" s="121"/>
      <c r="G125" s="121"/>
      <c r="H125" s="589">
        <v>30000</v>
      </c>
    </row>
    <row r="126" spans="1:8">
      <c r="A126" s="587" t="s">
        <v>564</v>
      </c>
      <c r="B126" s="119">
        <v>45</v>
      </c>
      <c r="C126" s="122">
        <v>3200</v>
      </c>
      <c r="D126" s="119" t="s">
        <v>33</v>
      </c>
      <c r="E126" s="121"/>
      <c r="F126" s="121"/>
      <c r="G126" s="121"/>
      <c r="H126" s="589">
        <v>1728000</v>
      </c>
    </row>
    <row r="127" spans="1:8">
      <c r="A127" s="587" t="s">
        <v>564</v>
      </c>
      <c r="B127" s="119">
        <v>13</v>
      </c>
      <c r="C127" s="122">
        <v>3500</v>
      </c>
      <c r="D127" s="119" t="s">
        <v>33</v>
      </c>
      <c r="E127" s="121"/>
      <c r="F127" s="121"/>
      <c r="G127" s="121"/>
      <c r="H127" s="589">
        <v>546000</v>
      </c>
    </row>
    <row r="128" spans="1:8">
      <c r="A128" s="587" t="s">
        <v>564</v>
      </c>
      <c r="B128" s="119">
        <v>18</v>
      </c>
      <c r="C128" s="120">
        <v>4000</v>
      </c>
      <c r="D128" s="119" t="s">
        <v>33</v>
      </c>
      <c r="E128" s="121"/>
      <c r="F128" s="121"/>
      <c r="G128" s="121"/>
      <c r="H128" s="589">
        <v>864000</v>
      </c>
    </row>
    <row r="129" spans="1:8">
      <c r="A129" s="587" t="s">
        <v>564</v>
      </c>
      <c r="B129" s="119">
        <v>5</v>
      </c>
      <c r="C129" s="120">
        <v>3300</v>
      </c>
      <c r="D129" s="119" t="s">
        <v>33</v>
      </c>
      <c r="E129" s="121"/>
      <c r="F129" s="121"/>
      <c r="G129" s="121"/>
      <c r="H129" s="589">
        <v>198000</v>
      </c>
    </row>
    <row r="130" spans="1:8">
      <c r="A130" s="587" t="s">
        <v>564</v>
      </c>
      <c r="B130" s="119">
        <v>18</v>
      </c>
      <c r="C130" s="120">
        <v>4500</v>
      </c>
      <c r="D130" s="119" t="s">
        <v>33</v>
      </c>
      <c r="E130" s="121"/>
      <c r="F130" s="121"/>
      <c r="G130" s="121"/>
      <c r="H130" s="589">
        <v>972000</v>
      </c>
    </row>
    <row r="131" spans="1:8">
      <c r="A131" s="587" t="s">
        <v>564</v>
      </c>
      <c r="B131" s="119">
        <v>1</v>
      </c>
      <c r="C131" s="120">
        <v>4100</v>
      </c>
      <c r="D131" s="119" t="s">
        <v>33</v>
      </c>
      <c r="E131" s="121"/>
      <c r="F131" s="121"/>
      <c r="G131" s="121"/>
      <c r="H131" s="589">
        <v>49200</v>
      </c>
    </row>
    <row r="132" spans="1:8">
      <c r="A132" s="587" t="s">
        <v>564</v>
      </c>
      <c r="B132" s="119">
        <v>1</v>
      </c>
      <c r="C132" s="120">
        <v>4700</v>
      </c>
      <c r="D132" s="119" t="s">
        <v>33</v>
      </c>
      <c r="E132" s="121"/>
      <c r="F132" s="121"/>
      <c r="G132" s="121"/>
      <c r="H132" s="589">
        <v>56400</v>
      </c>
    </row>
    <row r="133" spans="1:8">
      <c r="A133" s="587" t="s">
        <v>564</v>
      </c>
      <c r="B133" s="119">
        <v>8</v>
      </c>
      <c r="C133" s="122">
        <v>4500</v>
      </c>
      <c r="D133" s="119" t="s">
        <v>33</v>
      </c>
      <c r="E133" s="121"/>
      <c r="F133" s="121"/>
      <c r="G133" s="121"/>
      <c r="H133" s="589">
        <v>432000</v>
      </c>
    </row>
    <row r="134" spans="1:8">
      <c r="A134" s="587" t="s">
        <v>564</v>
      </c>
      <c r="B134" s="119">
        <v>2</v>
      </c>
      <c r="C134" s="122">
        <v>5120</v>
      </c>
      <c r="D134" s="119" t="s">
        <v>33</v>
      </c>
      <c r="E134" s="121"/>
      <c r="F134" s="121"/>
      <c r="G134" s="121"/>
      <c r="H134" s="589">
        <v>122880</v>
      </c>
    </row>
    <row r="135" spans="1:8">
      <c r="A135" s="587" t="s">
        <v>564</v>
      </c>
      <c r="B135" s="119">
        <v>7</v>
      </c>
      <c r="C135" s="122">
        <v>5150</v>
      </c>
      <c r="D135" s="119" t="s">
        <v>33</v>
      </c>
      <c r="E135" s="121"/>
      <c r="F135" s="121"/>
      <c r="G135" s="121"/>
      <c r="H135" s="589">
        <v>432600</v>
      </c>
    </row>
    <row r="136" spans="1:8">
      <c r="A136" s="587" t="s">
        <v>564</v>
      </c>
      <c r="B136" s="119">
        <v>6</v>
      </c>
      <c r="C136" s="120">
        <v>5000</v>
      </c>
      <c r="D136" s="119" t="s">
        <v>33</v>
      </c>
      <c r="E136" s="121"/>
      <c r="F136" s="121"/>
      <c r="G136" s="121"/>
      <c r="H136" s="589">
        <v>360000</v>
      </c>
    </row>
    <row r="137" spans="1:8">
      <c r="A137" s="587" t="s">
        <v>564</v>
      </c>
      <c r="B137" s="119">
        <v>1</v>
      </c>
      <c r="C137" s="120">
        <v>4800</v>
      </c>
      <c r="D137" s="119" t="s">
        <v>33</v>
      </c>
      <c r="E137" s="121"/>
      <c r="F137" s="121"/>
      <c r="G137" s="121"/>
      <c r="H137" s="589">
        <v>57600</v>
      </c>
    </row>
    <row r="138" spans="1:8">
      <c r="A138" s="587" t="s">
        <v>564</v>
      </c>
      <c r="B138" s="119">
        <v>14</v>
      </c>
      <c r="C138" s="122">
        <v>6000</v>
      </c>
      <c r="D138" s="119" t="s">
        <v>33</v>
      </c>
      <c r="E138" s="121"/>
      <c r="F138" s="121"/>
      <c r="G138" s="121"/>
      <c r="H138" s="589">
        <v>1008000</v>
      </c>
    </row>
    <row r="139" spans="1:8">
      <c r="A139" s="587" t="s">
        <v>564</v>
      </c>
      <c r="B139" s="119">
        <v>2</v>
      </c>
      <c r="C139" s="122">
        <v>5480</v>
      </c>
      <c r="D139" s="119" t="s">
        <v>33</v>
      </c>
      <c r="E139" s="121"/>
      <c r="F139" s="121"/>
      <c r="G139" s="121"/>
      <c r="H139" s="589">
        <v>131520</v>
      </c>
    </row>
    <row r="140" spans="1:8">
      <c r="A140" s="587" t="s">
        <v>564</v>
      </c>
      <c r="B140" s="119">
        <v>2</v>
      </c>
      <c r="C140" s="120">
        <v>7000</v>
      </c>
      <c r="D140" s="119" t="s">
        <v>33</v>
      </c>
      <c r="E140" s="121"/>
      <c r="F140" s="121"/>
      <c r="G140" s="121"/>
      <c r="H140" s="589">
        <v>168000</v>
      </c>
    </row>
    <row r="141" spans="1:8">
      <c r="A141" s="587" t="s">
        <v>564</v>
      </c>
      <c r="B141" s="119">
        <v>5</v>
      </c>
      <c r="C141" s="120">
        <v>7155</v>
      </c>
      <c r="D141" s="119" t="s">
        <v>33</v>
      </c>
      <c r="E141" s="121"/>
      <c r="F141" s="121"/>
      <c r="G141" s="121"/>
      <c r="H141" s="589">
        <v>429300</v>
      </c>
    </row>
    <row r="142" spans="1:8">
      <c r="A142" s="587" t="s">
        <v>564</v>
      </c>
      <c r="B142" s="119">
        <v>1</v>
      </c>
      <c r="C142" s="120">
        <v>7300</v>
      </c>
      <c r="D142" s="119" t="s">
        <v>33</v>
      </c>
      <c r="E142" s="121"/>
      <c r="F142" s="121"/>
      <c r="G142" s="121"/>
      <c r="H142" s="589">
        <v>87600</v>
      </c>
    </row>
    <row r="143" spans="1:8">
      <c r="A143" s="587" t="s">
        <v>564</v>
      </c>
      <c r="B143" s="119">
        <v>2</v>
      </c>
      <c r="C143" s="120">
        <v>8000</v>
      </c>
      <c r="D143" s="119" t="s">
        <v>33</v>
      </c>
      <c r="E143" s="121"/>
      <c r="F143" s="121"/>
      <c r="G143" s="121"/>
      <c r="H143" s="589">
        <v>192000</v>
      </c>
    </row>
    <row r="144" spans="1:8">
      <c r="A144" s="587" t="s">
        <v>564</v>
      </c>
      <c r="B144" s="119">
        <v>1</v>
      </c>
      <c r="C144" s="122">
        <v>8500</v>
      </c>
      <c r="D144" s="119" t="s">
        <v>33</v>
      </c>
      <c r="E144" s="121"/>
      <c r="F144" s="121"/>
      <c r="G144" s="121"/>
      <c r="H144" s="589">
        <v>102000</v>
      </c>
    </row>
    <row r="145" spans="1:8">
      <c r="A145" s="587" t="s">
        <v>564</v>
      </c>
      <c r="B145" s="119">
        <v>1</v>
      </c>
      <c r="C145" s="122">
        <v>9000</v>
      </c>
      <c r="D145" s="119" t="s">
        <v>33</v>
      </c>
      <c r="E145" s="121"/>
      <c r="F145" s="121"/>
      <c r="G145" s="121"/>
      <c r="H145" s="589">
        <v>108000</v>
      </c>
    </row>
    <row r="146" spans="1:8">
      <c r="A146" s="587" t="s">
        <v>564</v>
      </c>
      <c r="B146" s="119">
        <v>1</v>
      </c>
      <c r="C146" s="122">
        <v>9500</v>
      </c>
      <c r="D146" s="119" t="s">
        <v>33</v>
      </c>
      <c r="E146" s="121"/>
      <c r="F146" s="121"/>
      <c r="G146" s="121"/>
      <c r="H146" s="589">
        <v>114000</v>
      </c>
    </row>
    <row r="147" spans="1:8">
      <c r="A147" s="587" t="s">
        <v>564</v>
      </c>
      <c r="B147" s="119">
        <v>1</v>
      </c>
      <c r="C147" s="122">
        <v>12329</v>
      </c>
      <c r="D147" s="119" t="s">
        <v>33</v>
      </c>
      <c r="E147" s="121"/>
      <c r="F147" s="121"/>
      <c r="G147" s="121"/>
      <c r="H147" s="589">
        <v>147948</v>
      </c>
    </row>
    <row r="148" spans="1:8" ht="33.75">
      <c r="A148" s="587" t="s">
        <v>565</v>
      </c>
      <c r="B148" s="584"/>
      <c r="C148" s="585"/>
      <c r="D148" s="585"/>
      <c r="E148" s="124"/>
      <c r="F148" s="124"/>
      <c r="G148" s="124"/>
      <c r="H148" s="589">
        <v>499992</v>
      </c>
    </row>
    <row r="149" spans="1:8" ht="15.75" customHeight="1" thickBot="1">
      <c r="A149" s="590"/>
      <c r="B149" s="591">
        <v>399</v>
      </c>
      <c r="C149" s="592"/>
      <c r="D149" s="592"/>
      <c r="E149" s="593">
        <f>E7+E8+E9+E10+E11+E12+E13+E14+E15</f>
        <v>1740000</v>
      </c>
      <c r="F149" s="593">
        <f>F7+F8+F9+F10+F11+F12+F13+F14+F15</f>
        <v>31500</v>
      </c>
      <c r="G149" s="593">
        <f>G7+G8+G9+G10+G11+G12+G13+G14+G15</f>
        <v>27000</v>
      </c>
      <c r="H149" s="594">
        <f>SUM(H16:H148)</f>
        <v>36000000</v>
      </c>
    </row>
    <row r="150" spans="1:8" ht="13.5" thickBot="1">
      <c r="A150" s="954" t="s">
        <v>85</v>
      </c>
      <c r="B150" s="955"/>
      <c r="C150" s="955"/>
      <c r="D150" s="955"/>
      <c r="E150" s="955"/>
      <c r="F150" s="955"/>
      <c r="G150" s="956"/>
      <c r="H150" s="595">
        <f>H149+G149+F149+E149</f>
        <v>37798500</v>
      </c>
    </row>
    <row r="151" spans="1:8">
      <c r="A151" s="131"/>
      <c r="B151" s="126"/>
      <c r="C151" s="126"/>
      <c r="D151" s="126"/>
      <c r="E151" s="126"/>
      <c r="F151" s="126"/>
      <c r="G151" s="126"/>
      <c r="H151" s="127"/>
    </row>
    <row r="156" spans="1:8">
      <c r="A156" s="131"/>
      <c r="B156" s="126"/>
      <c r="C156" s="126"/>
      <c r="D156" s="126"/>
      <c r="E156" s="126"/>
      <c r="F156" s="126"/>
      <c r="G156" s="126"/>
      <c r="H156" s="126"/>
    </row>
  </sheetData>
  <mergeCells count="7">
    <mergeCell ref="A150:G150"/>
    <mergeCell ref="A4:D4"/>
    <mergeCell ref="A5:A6"/>
    <mergeCell ref="B5:B6"/>
    <mergeCell ref="C5:C6"/>
    <mergeCell ref="D5:D6"/>
    <mergeCell ref="E5:H5"/>
  </mergeCells>
  <pageMargins left="0.70866141732283472" right="0.70866141732283472" top="0.74803149606299213" bottom="0.74803149606299213" header="0.31496062992125984" footer="0.31496062992125984"/>
  <pageSetup paperSiz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AB470"/>
  <sheetViews>
    <sheetView view="pageBreakPreview" topLeftCell="A411" zoomScale="91" zoomScaleNormal="100" zoomScaleSheetLayoutView="91" workbookViewId="0">
      <selection activeCell="A456" sqref="A456"/>
    </sheetView>
  </sheetViews>
  <sheetFormatPr baseColWidth="10" defaultRowHeight="15"/>
  <cols>
    <col min="1" max="1" width="43.42578125" customWidth="1"/>
    <col min="2" max="2" width="10.42578125" bestFit="1" customWidth="1"/>
    <col min="3" max="3" width="14.140625" bestFit="1" customWidth="1"/>
    <col min="4" max="4" width="14" customWidth="1"/>
    <col min="5" max="5" width="14" bestFit="1" customWidth="1"/>
    <col min="6" max="6" width="49.85546875" style="155" customWidth="1"/>
    <col min="7" max="15" width="16" customWidth="1"/>
    <col min="16" max="17" width="16.5703125" bestFit="1" customWidth="1"/>
    <col min="18" max="18" width="16" customWidth="1"/>
    <col min="19" max="20" width="17" bestFit="1" customWidth="1"/>
    <col min="21" max="24" width="18.7109375" customWidth="1"/>
    <col min="25" max="25" width="16.140625" customWidth="1"/>
    <col min="26" max="26" width="17.28515625" customWidth="1"/>
    <col min="27" max="27" width="16.7109375" bestFit="1" customWidth="1"/>
    <col min="28" max="28" width="12.28515625" bestFit="1" customWidth="1"/>
  </cols>
  <sheetData>
    <row r="1" spans="1:26">
      <c r="A1" s="25" t="s">
        <v>25</v>
      </c>
      <c r="F1"/>
    </row>
    <row r="2" spans="1:26">
      <c r="A2" s="25" t="s">
        <v>97</v>
      </c>
    </row>
    <row r="3" spans="1:26">
      <c r="A3" s="25" t="s">
        <v>471</v>
      </c>
    </row>
    <row r="4" spans="1:26">
      <c r="A4" s="843" t="s">
        <v>472</v>
      </c>
      <c r="B4" s="843"/>
      <c r="C4" s="843"/>
      <c r="D4" s="843"/>
      <c r="E4" s="843"/>
      <c r="F4" s="843"/>
      <c r="G4" s="843"/>
    </row>
    <row r="5" spans="1:26">
      <c r="A5" s="844" t="s">
        <v>98</v>
      </c>
      <c r="B5" s="844" t="s">
        <v>36</v>
      </c>
      <c r="C5" s="844" t="s">
        <v>99</v>
      </c>
      <c r="D5" s="844" t="s">
        <v>100</v>
      </c>
      <c r="E5" s="844" t="s">
        <v>101</v>
      </c>
      <c r="F5" s="846" t="s">
        <v>38</v>
      </c>
      <c r="G5" s="848" t="s">
        <v>102</v>
      </c>
      <c r="H5" s="849"/>
      <c r="I5" s="849"/>
      <c r="J5" s="849"/>
      <c r="K5" s="849"/>
      <c r="L5" s="849"/>
      <c r="M5" s="849"/>
      <c r="N5" s="849"/>
      <c r="O5" s="849"/>
      <c r="P5" s="849"/>
      <c r="Q5" s="849"/>
      <c r="R5" s="849"/>
      <c r="S5" s="849"/>
      <c r="T5" s="849"/>
      <c r="U5" s="849"/>
      <c r="V5" s="849"/>
      <c r="W5" s="849"/>
      <c r="X5" s="849"/>
      <c r="Y5" s="849"/>
      <c r="Z5" s="849"/>
    </row>
    <row r="6" spans="1:26">
      <c r="A6" s="845"/>
      <c r="B6" s="845"/>
      <c r="C6" s="845"/>
      <c r="D6" s="845"/>
      <c r="E6" s="845"/>
      <c r="F6" s="847"/>
      <c r="G6" s="26">
        <v>11</v>
      </c>
      <c r="H6" s="26">
        <v>12</v>
      </c>
      <c r="I6" s="26">
        <v>13</v>
      </c>
      <c r="J6" s="26">
        <v>14</v>
      </c>
      <c r="K6" s="26">
        <v>15</v>
      </c>
      <c r="L6" s="26">
        <v>21</v>
      </c>
      <c r="M6" s="26">
        <v>22</v>
      </c>
      <c r="N6" s="26">
        <v>26</v>
      </c>
      <c r="O6" s="26">
        <v>27</v>
      </c>
      <c r="P6" s="26">
        <v>29</v>
      </c>
      <c r="Q6" s="26">
        <v>31</v>
      </c>
      <c r="R6" s="26">
        <v>33</v>
      </c>
      <c r="S6" s="26">
        <v>71</v>
      </c>
      <c r="T6" s="26">
        <v>72</v>
      </c>
      <c r="U6" s="26">
        <v>131</v>
      </c>
      <c r="V6" s="26">
        <v>133</v>
      </c>
      <c r="W6" s="26">
        <v>411</v>
      </c>
      <c r="X6" s="26">
        <v>412</v>
      </c>
      <c r="Y6" s="26">
        <v>413</v>
      </c>
      <c r="Z6" s="26">
        <v>415</v>
      </c>
    </row>
    <row r="7" spans="1:26">
      <c r="A7" s="452" t="s">
        <v>190</v>
      </c>
      <c r="B7" s="453">
        <v>20</v>
      </c>
      <c r="C7" s="454">
        <v>1039</v>
      </c>
      <c r="D7" s="30">
        <v>12</v>
      </c>
      <c r="E7" s="32">
        <f>+D7*C7*B7</f>
        <v>249360</v>
      </c>
      <c r="F7" s="455" t="s">
        <v>1039</v>
      </c>
      <c r="G7" s="34">
        <f>+E7</f>
        <v>249360</v>
      </c>
      <c r="H7" s="34">
        <f>75*B7*12</f>
        <v>18000</v>
      </c>
      <c r="I7" s="34">
        <f>250*B7*12</f>
        <v>60000</v>
      </c>
      <c r="J7" s="34"/>
      <c r="K7" s="34">
        <f>1166.66*12*B7</f>
        <v>279998.40000000002</v>
      </c>
      <c r="L7" s="33"/>
      <c r="M7" s="34"/>
      <c r="N7" s="34"/>
      <c r="O7" s="34"/>
      <c r="P7" s="34"/>
      <c r="Q7" s="34"/>
      <c r="R7" s="34">
        <f t="shared" ref="R7:R70" si="0">1133.11*12*B7</f>
        <v>271946.40000000002</v>
      </c>
      <c r="S7" s="34">
        <f t="shared" ref="S7:S70" si="1">+E7</f>
        <v>249360</v>
      </c>
      <c r="T7" s="34">
        <f>+S7</f>
        <v>249360</v>
      </c>
      <c r="U7" s="34"/>
      <c r="V7" s="34"/>
      <c r="W7" s="34"/>
      <c r="X7" s="34"/>
      <c r="Y7" s="34"/>
      <c r="Z7" s="34"/>
    </row>
    <row r="8" spans="1:26" ht="30" customHeight="1">
      <c r="A8" s="456" t="s">
        <v>1040</v>
      </c>
      <c r="B8" s="453">
        <v>5</v>
      </c>
      <c r="C8" s="454">
        <v>1135</v>
      </c>
      <c r="D8" s="30">
        <v>12</v>
      </c>
      <c r="E8" s="32">
        <f t="shared" ref="E8:E71" si="2">+D8*C8*B8</f>
        <v>68100</v>
      </c>
      <c r="F8" s="455" t="s">
        <v>1039</v>
      </c>
      <c r="G8" s="34">
        <f t="shared" ref="G8:G71" si="3">+E8</f>
        <v>68100</v>
      </c>
      <c r="H8" s="34">
        <f t="shared" ref="H8:H71" si="4">75*B8*12</f>
        <v>4500</v>
      </c>
      <c r="I8" s="34">
        <f t="shared" ref="I8:I71" si="5">250*B8*12</f>
        <v>15000</v>
      </c>
      <c r="J8" s="34"/>
      <c r="K8" s="34">
        <f t="shared" ref="K8:K71" si="6">1166.66*12*B8</f>
        <v>69999.600000000006</v>
      </c>
      <c r="L8" s="33"/>
      <c r="M8" s="34"/>
      <c r="N8" s="34"/>
      <c r="O8" s="34"/>
      <c r="P8" s="34"/>
      <c r="Q8" s="34"/>
      <c r="R8" s="34">
        <f t="shared" si="0"/>
        <v>67986.600000000006</v>
      </c>
      <c r="S8" s="34">
        <f t="shared" si="1"/>
        <v>68100</v>
      </c>
      <c r="T8" s="34">
        <f t="shared" ref="T8:T71" si="7">+S8</f>
        <v>68100</v>
      </c>
      <c r="U8" s="34"/>
      <c r="V8" s="34"/>
      <c r="W8" s="34"/>
      <c r="X8" s="34"/>
      <c r="Y8" s="34"/>
      <c r="Z8" s="34"/>
    </row>
    <row r="9" spans="1:26">
      <c r="A9" s="452" t="s">
        <v>815</v>
      </c>
      <c r="B9" s="453">
        <v>4</v>
      </c>
      <c r="C9" s="454">
        <v>1253</v>
      </c>
      <c r="D9" s="30">
        <v>12</v>
      </c>
      <c r="E9" s="32">
        <f t="shared" si="2"/>
        <v>60144</v>
      </c>
      <c r="F9" s="455" t="s">
        <v>1039</v>
      </c>
      <c r="G9" s="34">
        <f t="shared" si="3"/>
        <v>60144</v>
      </c>
      <c r="H9" s="34">
        <f t="shared" si="4"/>
        <v>3600</v>
      </c>
      <c r="I9" s="34">
        <f t="shared" si="5"/>
        <v>12000</v>
      </c>
      <c r="J9" s="34"/>
      <c r="K9" s="34">
        <f t="shared" si="6"/>
        <v>55999.680000000008</v>
      </c>
      <c r="L9" s="33"/>
      <c r="M9" s="34"/>
      <c r="N9" s="34"/>
      <c r="O9" s="34"/>
      <c r="P9" s="34"/>
      <c r="Q9" s="34"/>
      <c r="R9" s="34">
        <f t="shared" si="0"/>
        <v>54389.279999999999</v>
      </c>
      <c r="S9" s="34">
        <f t="shared" si="1"/>
        <v>60144</v>
      </c>
      <c r="T9" s="34">
        <f t="shared" si="7"/>
        <v>60144</v>
      </c>
      <c r="U9" s="34"/>
      <c r="V9" s="34"/>
      <c r="W9" s="34"/>
      <c r="X9" s="34"/>
      <c r="Y9" s="34"/>
      <c r="Z9" s="34"/>
    </row>
    <row r="10" spans="1:26">
      <c r="A10" s="452" t="s">
        <v>1041</v>
      </c>
      <c r="B10" s="453">
        <v>1</v>
      </c>
      <c r="C10" s="454">
        <v>1105</v>
      </c>
      <c r="D10" s="30">
        <v>12</v>
      </c>
      <c r="E10" s="32">
        <f t="shared" si="2"/>
        <v>13260</v>
      </c>
      <c r="F10" s="455" t="s">
        <v>1039</v>
      </c>
      <c r="G10" s="34">
        <f t="shared" si="3"/>
        <v>13260</v>
      </c>
      <c r="H10" s="34">
        <f t="shared" si="4"/>
        <v>900</v>
      </c>
      <c r="I10" s="34">
        <f t="shared" si="5"/>
        <v>3000</v>
      </c>
      <c r="J10" s="34"/>
      <c r="K10" s="34">
        <f t="shared" si="6"/>
        <v>13999.920000000002</v>
      </c>
      <c r="L10" s="33"/>
      <c r="M10" s="34"/>
      <c r="N10" s="34"/>
      <c r="O10" s="34"/>
      <c r="P10" s="34"/>
      <c r="Q10" s="34"/>
      <c r="R10" s="34">
        <f t="shared" si="0"/>
        <v>13597.32</v>
      </c>
      <c r="S10" s="34">
        <f t="shared" si="1"/>
        <v>13260</v>
      </c>
      <c r="T10" s="34">
        <f t="shared" si="7"/>
        <v>13260</v>
      </c>
      <c r="U10" s="34"/>
      <c r="V10" s="34"/>
      <c r="W10" s="34"/>
      <c r="X10" s="34"/>
      <c r="Y10" s="34"/>
      <c r="Z10" s="34"/>
    </row>
    <row r="11" spans="1:26" ht="26.25" customHeight="1">
      <c r="A11" s="457" t="s">
        <v>1042</v>
      </c>
      <c r="B11" s="453">
        <v>1</v>
      </c>
      <c r="C11" s="454">
        <v>1135</v>
      </c>
      <c r="D11" s="30">
        <v>12</v>
      </c>
      <c r="E11" s="32">
        <f t="shared" si="2"/>
        <v>13620</v>
      </c>
      <c r="F11" s="455" t="s">
        <v>1039</v>
      </c>
      <c r="G11" s="34">
        <f t="shared" si="3"/>
        <v>13620</v>
      </c>
      <c r="H11" s="34">
        <f t="shared" si="4"/>
        <v>900</v>
      </c>
      <c r="I11" s="34">
        <f t="shared" si="5"/>
        <v>3000</v>
      </c>
      <c r="J11" s="34"/>
      <c r="K11" s="34">
        <f t="shared" si="6"/>
        <v>13999.920000000002</v>
      </c>
      <c r="L11" s="33"/>
      <c r="M11" s="34"/>
      <c r="N11" s="34"/>
      <c r="O11" s="34"/>
      <c r="P11" s="34"/>
      <c r="Q11" s="34"/>
      <c r="R11" s="34">
        <f t="shared" si="0"/>
        <v>13597.32</v>
      </c>
      <c r="S11" s="34">
        <f t="shared" si="1"/>
        <v>13620</v>
      </c>
      <c r="T11" s="34">
        <f t="shared" si="7"/>
        <v>13620</v>
      </c>
      <c r="U11" s="34"/>
      <c r="V11" s="34"/>
      <c r="W11" s="34"/>
      <c r="X11" s="34"/>
      <c r="Y11" s="34"/>
      <c r="Z11" s="34"/>
    </row>
    <row r="12" spans="1:26">
      <c r="A12" s="452" t="s">
        <v>1043</v>
      </c>
      <c r="B12" s="453">
        <v>1</v>
      </c>
      <c r="C12" s="454">
        <v>1575</v>
      </c>
      <c r="D12" s="30">
        <v>12</v>
      </c>
      <c r="E12" s="32">
        <f t="shared" si="2"/>
        <v>18900</v>
      </c>
      <c r="F12" s="455" t="s">
        <v>1039</v>
      </c>
      <c r="G12" s="34">
        <f t="shared" si="3"/>
        <v>18900</v>
      </c>
      <c r="H12" s="34">
        <f t="shared" si="4"/>
        <v>900</v>
      </c>
      <c r="I12" s="34">
        <f t="shared" si="5"/>
        <v>3000</v>
      </c>
      <c r="J12" s="34"/>
      <c r="K12" s="34">
        <f t="shared" si="6"/>
        <v>13999.920000000002</v>
      </c>
      <c r="L12" s="33"/>
      <c r="M12" s="34"/>
      <c r="N12" s="34"/>
      <c r="O12" s="34"/>
      <c r="P12" s="34"/>
      <c r="Q12" s="34"/>
      <c r="R12" s="34">
        <f t="shared" si="0"/>
        <v>13597.32</v>
      </c>
      <c r="S12" s="34">
        <f t="shared" si="1"/>
        <v>18900</v>
      </c>
      <c r="T12" s="34">
        <f t="shared" si="7"/>
        <v>18900</v>
      </c>
      <c r="U12" s="34"/>
      <c r="V12" s="34"/>
      <c r="W12" s="34"/>
      <c r="X12" s="34"/>
      <c r="Y12" s="34"/>
      <c r="Z12" s="34"/>
    </row>
    <row r="13" spans="1:26">
      <c r="A13" s="452" t="s">
        <v>1044</v>
      </c>
      <c r="B13" s="453">
        <v>1</v>
      </c>
      <c r="C13" s="454">
        <v>1575</v>
      </c>
      <c r="D13" s="30">
        <v>12</v>
      </c>
      <c r="E13" s="32">
        <f t="shared" si="2"/>
        <v>18900</v>
      </c>
      <c r="F13" s="455" t="s">
        <v>1039</v>
      </c>
      <c r="G13" s="34">
        <f t="shared" si="3"/>
        <v>18900</v>
      </c>
      <c r="H13" s="34">
        <f t="shared" si="4"/>
        <v>900</v>
      </c>
      <c r="I13" s="34">
        <f t="shared" si="5"/>
        <v>3000</v>
      </c>
      <c r="J13" s="34"/>
      <c r="K13" s="34">
        <f t="shared" si="6"/>
        <v>13999.920000000002</v>
      </c>
      <c r="L13" s="33"/>
      <c r="M13" s="34"/>
      <c r="N13" s="34"/>
      <c r="O13" s="34"/>
      <c r="P13" s="34"/>
      <c r="Q13" s="34"/>
      <c r="R13" s="34">
        <f t="shared" si="0"/>
        <v>13597.32</v>
      </c>
      <c r="S13" s="34">
        <f t="shared" si="1"/>
        <v>18900</v>
      </c>
      <c r="T13" s="34">
        <f t="shared" si="7"/>
        <v>18900</v>
      </c>
      <c r="U13" s="34"/>
      <c r="V13" s="34"/>
      <c r="W13" s="34"/>
      <c r="X13" s="34"/>
      <c r="Y13" s="34"/>
      <c r="Z13" s="34"/>
    </row>
    <row r="14" spans="1:26">
      <c r="A14" s="452" t="s">
        <v>1045</v>
      </c>
      <c r="B14" s="453">
        <v>1</v>
      </c>
      <c r="C14" s="454">
        <v>1246</v>
      </c>
      <c r="D14" s="30">
        <v>12</v>
      </c>
      <c r="E14" s="32">
        <f t="shared" si="2"/>
        <v>14952</v>
      </c>
      <c r="F14" s="455" t="s">
        <v>1039</v>
      </c>
      <c r="G14" s="34">
        <f t="shared" si="3"/>
        <v>14952</v>
      </c>
      <c r="H14" s="34">
        <f t="shared" si="4"/>
        <v>900</v>
      </c>
      <c r="I14" s="34">
        <f t="shared" si="5"/>
        <v>3000</v>
      </c>
      <c r="J14" s="34"/>
      <c r="K14" s="34">
        <f t="shared" si="6"/>
        <v>13999.920000000002</v>
      </c>
      <c r="L14" s="33"/>
      <c r="M14" s="34"/>
      <c r="N14" s="34"/>
      <c r="O14" s="34"/>
      <c r="P14" s="34"/>
      <c r="Q14" s="34"/>
      <c r="R14" s="34">
        <f t="shared" si="0"/>
        <v>13597.32</v>
      </c>
      <c r="S14" s="34">
        <f t="shared" si="1"/>
        <v>14952</v>
      </c>
      <c r="T14" s="34">
        <f t="shared" si="7"/>
        <v>14952</v>
      </c>
      <c r="U14" s="34"/>
      <c r="V14" s="34"/>
      <c r="W14" s="34"/>
      <c r="X14" s="34"/>
      <c r="Y14" s="34"/>
      <c r="Z14" s="34"/>
    </row>
    <row r="15" spans="1:26">
      <c r="A15" s="458" t="s">
        <v>190</v>
      </c>
      <c r="B15" s="459">
        <v>29</v>
      </c>
      <c r="C15" s="460">
        <v>1039</v>
      </c>
      <c r="D15" s="30">
        <v>12</v>
      </c>
      <c r="E15" s="32">
        <f t="shared" si="2"/>
        <v>361572</v>
      </c>
      <c r="F15" s="455" t="s">
        <v>1039</v>
      </c>
      <c r="G15" s="34">
        <f t="shared" si="3"/>
        <v>361572</v>
      </c>
      <c r="H15" s="34">
        <f t="shared" si="4"/>
        <v>26100</v>
      </c>
      <c r="I15" s="34">
        <f t="shared" si="5"/>
        <v>87000</v>
      </c>
      <c r="J15" s="34"/>
      <c r="K15" s="34">
        <f t="shared" si="6"/>
        <v>405997.68000000005</v>
      </c>
      <c r="L15" s="33"/>
      <c r="M15" s="34"/>
      <c r="N15" s="34"/>
      <c r="O15" s="34"/>
      <c r="P15" s="34"/>
      <c r="Q15" s="34"/>
      <c r="R15" s="34">
        <f t="shared" si="0"/>
        <v>394322.27999999997</v>
      </c>
      <c r="S15" s="34">
        <f t="shared" si="1"/>
        <v>361572</v>
      </c>
      <c r="T15" s="34">
        <f t="shared" si="7"/>
        <v>361572</v>
      </c>
      <c r="U15" s="34"/>
      <c r="V15" s="34"/>
      <c r="W15" s="34"/>
      <c r="X15" s="34"/>
      <c r="Y15" s="34"/>
      <c r="Z15" s="34"/>
    </row>
    <row r="16" spans="1:26">
      <c r="A16" s="458" t="s">
        <v>191</v>
      </c>
      <c r="B16" s="459">
        <v>5</v>
      </c>
      <c r="C16" s="460">
        <v>1074</v>
      </c>
      <c r="D16" s="30">
        <v>12</v>
      </c>
      <c r="E16" s="32">
        <f t="shared" si="2"/>
        <v>64440</v>
      </c>
      <c r="F16" s="455" t="s">
        <v>1039</v>
      </c>
      <c r="G16" s="34">
        <f t="shared" si="3"/>
        <v>64440</v>
      </c>
      <c r="H16" s="34">
        <f t="shared" si="4"/>
        <v>4500</v>
      </c>
      <c r="I16" s="34">
        <f t="shared" si="5"/>
        <v>15000</v>
      </c>
      <c r="J16" s="34"/>
      <c r="K16" s="34">
        <f t="shared" si="6"/>
        <v>69999.600000000006</v>
      </c>
      <c r="L16" s="33"/>
      <c r="M16" s="34"/>
      <c r="N16" s="34"/>
      <c r="O16" s="34"/>
      <c r="P16" s="34"/>
      <c r="Q16" s="34"/>
      <c r="R16" s="34">
        <f t="shared" si="0"/>
        <v>67986.600000000006</v>
      </c>
      <c r="S16" s="34">
        <f t="shared" si="1"/>
        <v>64440</v>
      </c>
      <c r="T16" s="34">
        <f t="shared" si="7"/>
        <v>64440</v>
      </c>
      <c r="U16" s="34"/>
      <c r="V16" s="34"/>
      <c r="W16" s="34"/>
      <c r="X16" s="34"/>
      <c r="Y16" s="34"/>
      <c r="Z16" s="34"/>
    </row>
    <row r="17" spans="1:26">
      <c r="A17" s="458" t="s">
        <v>192</v>
      </c>
      <c r="B17" s="459">
        <v>7</v>
      </c>
      <c r="C17" s="460">
        <v>1105</v>
      </c>
      <c r="D17" s="30">
        <v>12</v>
      </c>
      <c r="E17" s="32">
        <f t="shared" si="2"/>
        <v>92820</v>
      </c>
      <c r="F17" s="455" t="s">
        <v>1039</v>
      </c>
      <c r="G17" s="34">
        <f t="shared" si="3"/>
        <v>92820</v>
      </c>
      <c r="H17" s="34">
        <f t="shared" si="4"/>
        <v>6300</v>
      </c>
      <c r="I17" s="34">
        <f t="shared" si="5"/>
        <v>21000</v>
      </c>
      <c r="J17" s="34"/>
      <c r="K17" s="34">
        <f t="shared" si="6"/>
        <v>97999.440000000017</v>
      </c>
      <c r="L17" s="33"/>
      <c r="M17" s="34"/>
      <c r="N17" s="34"/>
      <c r="O17" s="34"/>
      <c r="P17" s="34"/>
      <c r="Q17" s="34"/>
      <c r="R17" s="34">
        <f t="shared" si="0"/>
        <v>95181.239999999991</v>
      </c>
      <c r="S17" s="34">
        <f t="shared" si="1"/>
        <v>92820</v>
      </c>
      <c r="T17" s="34">
        <f t="shared" si="7"/>
        <v>92820</v>
      </c>
      <c r="U17" s="34"/>
      <c r="V17" s="34"/>
      <c r="W17" s="34"/>
      <c r="X17" s="34"/>
      <c r="Y17" s="34"/>
      <c r="Z17" s="34"/>
    </row>
    <row r="18" spans="1:26">
      <c r="A18" s="458" t="s">
        <v>43</v>
      </c>
      <c r="B18" s="459">
        <v>12</v>
      </c>
      <c r="C18" s="460">
        <v>1128</v>
      </c>
      <c r="D18" s="30">
        <v>12</v>
      </c>
      <c r="E18" s="32">
        <f t="shared" si="2"/>
        <v>162432</v>
      </c>
      <c r="F18" s="455" t="s">
        <v>1039</v>
      </c>
      <c r="G18" s="34">
        <f t="shared" si="3"/>
        <v>162432</v>
      </c>
      <c r="H18" s="34">
        <f t="shared" si="4"/>
        <v>10800</v>
      </c>
      <c r="I18" s="34">
        <f t="shared" si="5"/>
        <v>36000</v>
      </c>
      <c r="J18" s="34"/>
      <c r="K18" s="34">
        <f t="shared" si="6"/>
        <v>167999.04000000004</v>
      </c>
      <c r="L18" s="33"/>
      <c r="M18" s="34"/>
      <c r="N18" s="34"/>
      <c r="O18" s="34"/>
      <c r="P18" s="34"/>
      <c r="Q18" s="34"/>
      <c r="R18" s="34">
        <f t="shared" si="0"/>
        <v>163167.84</v>
      </c>
      <c r="S18" s="34">
        <f t="shared" si="1"/>
        <v>162432</v>
      </c>
      <c r="T18" s="34">
        <f t="shared" si="7"/>
        <v>162432</v>
      </c>
      <c r="U18" s="34"/>
      <c r="V18" s="34"/>
      <c r="W18" s="34"/>
      <c r="X18" s="34"/>
      <c r="Y18" s="34"/>
      <c r="Z18" s="34"/>
    </row>
    <row r="19" spans="1:26">
      <c r="A19" s="458" t="s">
        <v>1046</v>
      </c>
      <c r="B19" s="459">
        <v>2</v>
      </c>
      <c r="C19" s="460">
        <v>1246</v>
      </c>
      <c r="D19" s="30">
        <v>12</v>
      </c>
      <c r="E19" s="32">
        <f t="shared" si="2"/>
        <v>29904</v>
      </c>
      <c r="F19" s="455" t="s">
        <v>1039</v>
      </c>
      <c r="G19" s="34">
        <f t="shared" si="3"/>
        <v>29904</v>
      </c>
      <c r="H19" s="34">
        <f t="shared" si="4"/>
        <v>1800</v>
      </c>
      <c r="I19" s="34">
        <f t="shared" si="5"/>
        <v>6000</v>
      </c>
      <c r="J19" s="34"/>
      <c r="K19" s="34">
        <f t="shared" si="6"/>
        <v>27999.840000000004</v>
      </c>
      <c r="L19" s="33"/>
      <c r="M19" s="34"/>
      <c r="N19" s="34"/>
      <c r="O19" s="34"/>
      <c r="P19" s="34"/>
      <c r="Q19" s="34"/>
      <c r="R19" s="34">
        <f t="shared" si="0"/>
        <v>27194.639999999999</v>
      </c>
      <c r="S19" s="34">
        <f t="shared" si="1"/>
        <v>29904</v>
      </c>
      <c r="T19" s="34">
        <f t="shared" si="7"/>
        <v>29904</v>
      </c>
      <c r="U19" s="34"/>
      <c r="V19" s="34"/>
      <c r="W19" s="34"/>
      <c r="X19" s="34"/>
      <c r="Y19" s="34"/>
      <c r="Z19" s="34"/>
    </row>
    <row r="20" spans="1:26">
      <c r="A20" s="458" t="s">
        <v>1047</v>
      </c>
      <c r="B20" s="459">
        <v>2</v>
      </c>
      <c r="C20" s="460">
        <v>1105</v>
      </c>
      <c r="D20" s="30">
        <v>12</v>
      </c>
      <c r="E20" s="32">
        <f t="shared" si="2"/>
        <v>26520</v>
      </c>
      <c r="F20" s="455" t="s">
        <v>1039</v>
      </c>
      <c r="G20" s="34">
        <f t="shared" si="3"/>
        <v>26520</v>
      </c>
      <c r="H20" s="34">
        <f t="shared" si="4"/>
        <v>1800</v>
      </c>
      <c r="I20" s="34">
        <f t="shared" si="5"/>
        <v>6000</v>
      </c>
      <c r="J20" s="34"/>
      <c r="K20" s="34">
        <f t="shared" si="6"/>
        <v>27999.840000000004</v>
      </c>
      <c r="L20" s="33"/>
      <c r="M20" s="34"/>
      <c r="N20" s="34"/>
      <c r="O20" s="34"/>
      <c r="P20" s="34"/>
      <c r="Q20" s="34"/>
      <c r="R20" s="34">
        <f t="shared" si="0"/>
        <v>27194.639999999999</v>
      </c>
      <c r="S20" s="34">
        <f t="shared" si="1"/>
        <v>26520</v>
      </c>
      <c r="T20" s="34">
        <f t="shared" si="7"/>
        <v>26520</v>
      </c>
      <c r="U20" s="34"/>
      <c r="V20" s="34"/>
      <c r="W20" s="34"/>
      <c r="X20" s="34"/>
      <c r="Y20" s="34"/>
      <c r="Z20" s="34"/>
    </row>
    <row r="21" spans="1:26">
      <c r="A21" s="458" t="s">
        <v>1048</v>
      </c>
      <c r="B21" s="459">
        <v>1</v>
      </c>
      <c r="C21" s="460">
        <v>1991</v>
      </c>
      <c r="D21" s="30">
        <v>12</v>
      </c>
      <c r="E21" s="32">
        <f t="shared" si="2"/>
        <v>23892</v>
      </c>
      <c r="F21" s="455" t="s">
        <v>1039</v>
      </c>
      <c r="G21" s="34">
        <f t="shared" si="3"/>
        <v>23892</v>
      </c>
      <c r="H21" s="34">
        <f t="shared" si="4"/>
        <v>900</v>
      </c>
      <c r="I21" s="34">
        <f t="shared" si="5"/>
        <v>3000</v>
      </c>
      <c r="J21" s="34"/>
      <c r="K21" s="34">
        <f t="shared" si="6"/>
        <v>13999.920000000002</v>
      </c>
      <c r="L21" s="33"/>
      <c r="M21" s="34"/>
      <c r="N21" s="34"/>
      <c r="O21" s="34"/>
      <c r="P21" s="34"/>
      <c r="Q21" s="34"/>
      <c r="R21" s="34">
        <f t="shared" si="0"/>
        <v>13597.32</v>
      </c>
      <c r="S21" s="34">
        <f t="shared" si="1"/>
        <v>23892</v>
      </c>
      <c r="T21" s="34">
        <f t="shared" si="7"/>
        <v>23892</v>
      </c>
      <c r="U21" s="34"/>
      <c r="V21" s="34"/>
      <c r="W21" s="34"/>
      <c r="X21" s="34"/>
      <c r="Y21" s="34"/>
      <c r="Z21" s="34"/>
    </row>
    <row r="22" spans="1:26">
      <c r="A22" s="458" t="s">
        <v>1049</v>
      </c>
      <c r="B22" s="459">
        <v>1</v>
      </c>
      <c r="C22" s="460">
        <v>1105</v>
      </c>
      <c r="D22" s="30">
        <v>12</v>
      </c>
      <c r="E22" s="32">
        <f t="shared" si="2"/>
        <v>13260</v>
      </c>
      <c r="F22" s="455" t="s">
        <v>1039</v>
      </c>
      <c r="G22" s="34">
        <f t="shared" si="3"/>
        <v>13260</v>
      </c>
      <c r="H22" s="34">
        <f t="shared" si="4"/>
        <v>900</v>
      </c>
      <c r="I22" s="34">
        <f t="shared" si="5"/>
        <v>3000</v>
      </c>
      <c r="J22" s="34"/>
      <c r="K22" s="34">
        <f t="shared" si="6"/>
        <v>13999.920000000002</v>
      </c>
      <c r="L22" s="33"/>
      <c r="M22" s="34"/>
      <c r="N22" s="34"/>
      <c r="O22" s="34"/>
      <c r="P22" s="34"/>
      <c r="Q22" s="34"/>
      <c r="R22" s="34">
        <f t="shared" si="0"/>
        <v>13597.32</v>
      </c>
      <c r="S22" s="34">
        <f t="shared" si="1"/>
        <v>13260</v>
      </c>
      <c r="T22" s="34">
        <f t="shared" si="7"/>
        <v>13260</v>
      </c>
      <c r="U22" s="34"/>
      <c r="V22" s="34"/>
      <c r="W22" s="34"/>
      <c r="X22" s="34"/>
      <c r="Y22" s="34"/>
      <c r="Z22" s="34"/>
    </row>
    <row r="23" spans="1:26">
      <c r="A23" s="458" t="s">
        <v>1050</v>
      </c>
      <c r="B23" s="459">
        <v>1</v>
      </c>
      <c r="C23" s="460">
        <v>1575</v>
      </c>
      <c r="D23" s="30">
        <v>12</v>
      </c>
      <c r="E23" s="32">
        <f t="shared" si="2"/>
        <v>18900</v>
      </c>
      <c r="F23" s="455" t="s">
        <v>1039</v>
      </c>
      <c r="G23" s="34">
        <f t="shared" si="3"/>
        <v>18900</v>
      </c>
      <c r="H23" s="34">
        <f t="shared" si="4"/>
        <v>900</v>
      </c>
      <c r="I23" s="34">
        <f t="shared" si="5"/>
        <v>3000</v>
      </c>
      <c r="J23" s="34"/>
      <c r="K23" s="34">
        <f t="shared" si="6"/>
        <v>13999.920000000002</v>
      </c>
      <c r="L23" s="33"/>
      <c r="M23" s="34"/>
      <c r="N23" s="34"/>
      <c r="O23" s="34"/>
      <c r="P23" s="34"/>
      <c r="Q23" s="34"/>
      <c r="R23" s="34">
        <f t="shared" si="0"/>
        <v>13597.32</v>
      </c>
      <c r="S23" s="34">
        <f t="shared" si="1"/>
        <v>18900</v>
      </c>
      <c r="T23" s="34">
        <f t="shared" si="7"/>
        <v>18900</v>
      </c>
      <c r="U23" s="34"/>
      <c r="V23" s="34"/>
      <c r="W23" s="34"/>
      <c r="X23" s="34"/>
      <c r="Y23" s="34"/>
      <c r="Z23" s="34"/>
    </row>
    <row r="24" spans="1:26">
      <c r="A24" s="461" t="s">
        <v>190</v>
      </c>
      <c r="B24" s="462">
        <v>15</v>
      </c>
      <c r="C24" s="463">
        <v>1039</v>
      </c>
      <c r="D24" s="30">
        <v>12</v>
      </c>
      <c r="E24" s="32">
        <f t="shared" si="2"/>
        <v>187020</v>
      </c>
      <c r="F24" s="455" t="s">
        <v>1039</v>
      </c>
      <c r="G24" s="34">
        <f t="shared" si="3"/>
        <v>187020</v>
      </c>
      <c r="H24" s="34">
        <f t="shared" si="4"/>
        <v>13500</v>
      </c>
      <c r="I24" s="34">
        <f t="shared" si="5"/>
        <v>45000</v>
      </c>
      <c r="J24" s="34"/>
      <c r="K24" s="34">
        <f t="shared" si="6"/>
        <v>209998.80000000002</v>
      </c>
      <c r="L24" s="33"/>
      <c r="M24" s="34"/>
      <c r="N24" s="34"/>
      <c r="O24" s="34"/>
      <c r="P24" s="34"/>
      <c r="Q24" s="34"/>
      <c r="R24" s="34">
        <f t="shared" si="0"/>
        <v>203959.8</v>
      </c>
      <c r="S24" s="34">
        <f t="shared" si="1"/>
        <v>187020</v>
      </c>
      <c r="T24" s="34">
        <f t="shared" si="7"/>
        <v>187020</v>
      </c>
      <c r="U24" s="34"/>
      <c r="V24" s="34"/>
      <c r="W24" s="34"/>
      <c r="X24" s="34"/>
      <c r="Y24" s="34"/>
      <c r="Z24" s="34"/>
    </row>
    <row r="25" spans="1:26" ht="30" customHeight="1">
      <c r="A25" s="464" t="s">
        <v>1051</v>
      </c>
      <c r="B25" s="462">
        <v>1</v>
      </c>
      <c r="C25" s="463">
        <v>1074</v>
      </c>
      <c r="D25" s="30">
        <v>12</v>
      </c>
      <c r="E25" s="32">
        <f t="shared" si="2"/>
        <v>12888</v>
      </c>
      <c r="F25" s="455" t="s">
        <v>1039</v>
      </c>
      <c r="G25" s="34">
        <f t="shared" si="3"/>
        <v>12888</v>
      </c>
      <c r="H25" s="34">
        <f t="shared" si="4"/>
        <v>900</v>
      </c>
      <c r="I25" s="34">
        <f t="shared" si="5"/>
        <v>3000</v>
      </c>
      <c r="J25" s="34"/>
      <c r="K25" s="34">
        <f t="shared" si="6"/>
        <v>13999.920000000002</v>
      </c>
      <c r="L25" s="33"/>
      <c r="M25" s="34"/>
      <c r="N25" s="34"/>
      <c r="O25" s="34"/>
      <c r="P25" s="34"/>
      <c r="Q25" s="34"/>
      <c r="R25" s="34">
        <f t="shared" si="0"/>
        <v>13597.32</v>
      </c>
      <c r="S25" s="34">
        <f t="shared" si="1"/>
        <v>12888</v>
      </c>
      <c r="T25" s="34">
        <f t="shared" si="7"/>
        <v>12888</v>
      </c>
      <c r="U25" s="34"/>
      <c r="V25" s="34"/>
      <c r="W25" s="34"/>
      <c r="X25" s="34"/>
      <c r="Y25" s="34"/>
      <c r="Z25" s="34"/>
    </row>
    <row r="26" spans="1:26">
      <c r="A26" s="461" t="s">
        <v>1052</v>
      </c>
      <c r="B26" s="462">
        <v>1</v>
      </c>
      <c r="C26" s="463">
        <v>1074</v>
      </c>
      <c r="D26" s="30">
        <v>12</v>
      </c>
      <c r="E26" s="32">
        <f t="shared" si="2"/>
        <v>12888</v>
      </c>
      <c r="F26" s="455" t="s">
        <v>1039</v>
      </c>
      <c r="G26" s="34">
        <f t="shared" si="3"/>
        <v>12888</v>
      </c>
      <c r="H26" s="34">
        <f t="shared" si="4"/>
        <v>900</v>
      </c>
      <c r="I26" s="34">
        <f t="shared" si="5"/>
        <v>3000</v>
      </c>
      <c r="J26" s="34"/>
      <c r="K26" s="34">
        <f t="shared" si="6"/>
        <v>13999.920000000002</v>
      </c>
      <c r="L26" s="33"/>
      <c r="M26" s="34"/>
      <c r="N26" s="34"/>
      <c r="O26" s="34"/>
      <c r="P26" s="34"/>
      <c r="Q26" s="34"/>
      <c r="R26" s="34">
        <f t="shared" si="0"/>
        <v>13597.32</v>
      </c>
      <c r="S26" s="34">
        <f t="shared" si="1"/>
        <v>12888</v>
      </c>
      <c r="T26" s="34">
        <f t="shared" si="7"/>
        <v>12888</v>
      </c>
      <c r="U26" s="34"/>
      <c r="V26" s="34"/>
      <c r="W26" s="34"/>
      <c r="X26" s="34"/>
      <c r="Y26" s="34"/>
      <c r="Z26" s="34"/>
    </row>
    <row r="27" spans="1:26">
      <c r="A27" s="461" t="s">
        <v>1041</v>
      </c>
      <c r="B27" s="462">
        <v>1</v>
      </c>
      <c r="C27" s="463">
        <v>1105</v>
      </c>
      <c r="D27" s="30">
        <v>12</v>
      </c>
      <c r="E27" s="32">
        <f t="shared" si="2"/>
        <v>13260</v>
      </c>
      <c r="F27" s="455" t="s">
        <v>1039</v>
      </c>
      <c r="G27" s="34">
        <f t="shared" si="3"/>
        <v>13260</v>
      </c>
      <c r="H27" s="34">
        <f t="shared" si="4"/>
        <v>900</v>
      </c>
      <c r="I27" s="34">
        <f t="shared" si="5"/>
        <v>3000</v>
      </c>
      <c r="J27" s="34"/>
      <c r="K27" s="34">
        <f t="shared" si="6"/>
        <v>13999.920000000002</v>
      </c>
      <c r="L27" s="33"/>
      <c r="M27" s="34"/>
      <c r="N27" s="34"/>
      <c r="O27" s="34"/>
      <c r="P27" s="34"/>
      <c r="Q27" s="34"/>
      <c r="R27" s="34">
        <f t="shared" si="0"/>
        <v>13597.32</v>
      </c>
      <c r="S27" s="34">
        <f t="shared" si="1"/>
        <v>13260</v>
      </c>
      <c r="T27" s="34">
        <f t="shared" si="7"/>
        <v>13260</v>
      </c>
      <c r="U27" s="34"/>
      <c r="V27" s="34"/>
      <c r="W27" s="34"/>
      <c r="X27" s="34"/>
      <c r="Y27" s="34"/>
      <c r="Z27" s="34"/>
    </row>
    <row r="28" spans="1:26">
      <c r="A28" s="461" t="s">
        <v>43</v>
      </c>
      <c r="B28" s="462">
        <v>1</v>
      </c>
      <c r="C28" s="463">
        <v>1128</v>
      </c>
      <c r="D28" s="30">
        <v>12</v>
      </c>
      <c r="E28" s="32">
        <f t="shared" si="2"/>
        <v>13536</v>
      </c>
      <c r="F28" s="455" t="s">
        <v>1039</v>
      </c>
      <c r="G28" s="34">
        <f t="shared" si="3"/>
        <v>13536</v>
      </c>
      <c r="H28" s="34">
        <f t="shared" si="4"/>
        <v>900</v>
      </c>
      <c r="I28" s="34">
        <f t="shared" si="5"/>
        <v>3000</v>
      </c>
      <c r="J28" s="34"/>
      <c r="K28" s="34">
        <f t="shared" si="6"/>
        <v>13999.920000000002</v>
      </c>
      <c r="L28" s="33"/>
      <c r="M28" s="34"/>
      <c r="N28" s="34"/>
      <c r="O28" s="34"/>
      <c r="P28" s="34"/>
      <c r="Q28" s="34"/>
      <c r="R28" s="34">
        <f t="shared" si="0"/>
        <v>13597.32</v>
      </c>
      <c r="S28" s="34">
        <f t="shared" si="1"/>
        <v>13536</v>
      </c>
      <c r="T28" s="34">
        <f t="shared" si="7"/>
        <v>13536</v>
      </c>
      <c r="U28" s="34"/>
      <c r="V28" s="34"/>
      <c r="W28" s="34"/>
      <c r="X28" s="34"/>
      <c r="Y28" s="34"/>
      <c r="Z28" s="34"/>
    </row>
    <row r="29" spans="1:26">
      <c r="A29" s="461" t="s">
        <v>1053</v>
      </c>
      <c r="B29" s="462">
        <v>1</v>
      </c>
      <c r="C29" s="463">
        <v>1381</v>
      </c>
      <c r="D29" s="30">
        <v>12</v>
      </c>
      <c r="E29" s="32">
        <f t="shared" si="2"/>
        <v>16572</v>
      </c>
      <c r="F29" s="455" t="s">
        <v>1039</v>
      </c>
      <c r="G29" s="34">
        <f t="shared" si="3"/>
        <v>16572</v>
      </c>
      <c r="H29" s="34">
        <f t="shared" si="4"/>
        <v>900</v>
      </c>
      <c r="I29" s="34">
        <f t="shared" si="5"/>
        <v>3000</v>
      </c>
      <c r="J29" s="34"/>
      <c r="K29" s="34">
        <f t="shared" si="6"/>
        <v>13999.920000000002</v>
      </c>
      <c r="L29" s="33"/>
      <c r="M29" s="34"/>
      <c r="N29" s="34"/>
      <c r="O29" s="34"/>
      <c r="P29" s="34"/>
      <c r="Q29" s="34"/>
      <c r="R29" s="34">
        <f t="shared" si="0"/>
        <v>13597.32</v>
      </c>
      <c r="S29" s="34">
        <f t="shared" si="1"/>
        <v>16572</v>
      </c>
      <c r="T29" s="34">
        <f t="shared" si="7"/>
        <v>16572</v>
      </c>
      <c r="U29" s="34"/>
      <c r="V29" s="34"/>
      <c r="W29" s="34"/>
      <c r="X29" s="34"/>
      <c r="Y29" s="34"/>
      <c r="Z29" s="34"/>
    </row>
    <row r="30" spans="1:26">
      <c r="A30" s="465" t="s">
        <v>190</v>
      </c>
      <c r="B30" s="466">
        <v>22</v>
      </c>
      <c r="C30" s="467">
        <v>1039</v>
      </c>
      <c r="D30" s="30">
        <v>12</v>
      </c>
      <c r="E30" s="32">
        <f t="shared" si="2"/>
        <v>274296</v>
      </c>
      <c r="F30" s="455" t="s">
        <v>1039</v>
      </c>
      <c r="G30" s="34">
        <f t="shared" si="3"/>
        <v>274296</v>
      </c>
      <c r="H30" s="34">
        <f t="shared" si="4"/>
        <v>19800</v>
      </c>
      <c r="I30" s="34">
        <f t="shared" si="5"/>
        <v>66000</v>
      </c>
      <c r="J30" s="34"/>
      <c r="K30" s="34">
        <f t="shared" si="6"/>
        <v>307998.24000000005</v>
      </c>
      <c r="L30" s="33"/>
      <c r="M30" s="34"/>
      <c r="N30" s="34"/>
      <c r="O30" s="34"/>
      <c r="P30" s="34"/>
      <c r="Q30" s="34"/>
      <c r="R30" s="34">
        <f t="shared" si="0"/>
        <v>299141.03999999998</v>
      </c>
      <c r="S30" s="34">
        <f t="shared" si="1"/>
        <v>274296</v>
      </c>
      <c r="T30" s="34">
        <f t="shared" si="7"/>
        <v>274296</v>
      </c>
      <c r="U30" s="34"/>
      <c r="V30" s="34"/>
      <c r="W30" s="34"/>
      <c r="X30" s="34"/>
      <c r="Y30" s="34"/>
      <c r="Z30" s="34"/>
    </row>
    <row r="31" spans="1:26" ht="30" customHeight="1">
      <c r="A31" s="468" t="s">
        <v>1054</v>
      </c>
      <c r="B31" s="466">
        <v>2</v>
      </c>
      <c r="C31" s="467">
        <v>1074</v>
      </c>
      <c r="D31" s="30">
        <v>12</v>
      </c>
      <c r="E31" s="32">
        <f t="shared" si="2"/>
        <v>25776</v>
      </c>
      <c r="F31" s="455" t="s">
        <v>1039</v>
      </c>
      <c r="G31" s="34">
        <f t="shared" si="3"/>
        <v>25776</v>
      </c>
      <c r="H31" s="34">
        <f t="shared" si="4"/>
        <v>1800</v>
      </c>
      <c r="I31" s="34">
        <f t="shared" si="5"/>
        <v>6000</v>
      </c>
      <c r="J31" s="34"/>
      <c r="K31" s="34">
        <f t="shared" si="6"/>
        <v>27999.840000000004</v>
      </c>
      <c r="L31" s="33"/>
      <c r="M31" s="34"/>
      <c r="N31" s="34"/>
      <c r="O31" s="34"/>
      <c r="P31" s="34"/>
      <c r="Q31" s="34"/>
      <c r="R31" s="34">
        <f t="shared" si="0"/>
        <v>27194.639999999999</v>
      </c>
      <c r="S31" s="34">
        <f t="shared" si="1"/>
        <v>25776</v>
      </c>
      <c r="T31" s="34">
        <f t="shared" si="7"/>
        <v>25776</v>
      </c>
      <c r="U31" s="34"/>
      <c r="V31" s="34"/>
      <c r="W31" s="34"/>
      <c r="X31" s="34"/>
      <c r="Y31" s="34"/>
      <c r="Z31" s="34"/>
    </row>
    <row r="32" spans="1:26">
      <c r="A32" s="465" t="s">
        <v>1041</v>
      </c>
      <c r="B32" s="466">
        <v>1</v>
      </c>
      <c r="C32" s="467">
        <v>1105</v>
      </c>
      <c r="D32" s="30">
        <v>12</v>
      </c>
      <c r="E32" s="32">
        <f t="shared" si="2"/>
        <v>13260</v>
      </c>
      <c r="F32" s="455" t="s">
        <v>1039</v>
      </c>
      <c r="G32" s="34">
        <f t="shared" si="3"/>
        <v>13260</v>
      </c>
      <c r="H32" s="34">
        <f t="shared" si="4"/>
        <v>900</v>
      </c>
      <c r="I32" s="34">
        <f t="shared" si="5"/>
        <v>3000</v>
      </c>
      <c r="J32" s="34"/>
      <c r="K32" s="34">
        <f t="shared" si="6"/>
        <v>13999.920000000002</v>
      </c>
      <c r="L32" s="33"/>
      <c r="M32" s="34"/>
      <c r="N32" s="34"/>
      <c r="O32" s="34"/>
      <c r="P32" s="34"/>
      <c r="Q32" s="34"/>
      <c r="R32" s="34">
        <f t="shared" si="0"/>
        <v>13597.32</v>
      </c>
      <c r="S32" s="34">
        <f t="shared" si="1"/>
        <v>13260</v>
      </c>
      <c r="T32" s="34">
        <f t="shared" si="7"/>
        <v>13260</v>
      </c>
      <c r="U32" s="34"/>
      <c r="V32" s="34"/>
      <c r="W32" s="34"/>
      <c r="X32" s="34"/>
      <c r="Y32" s="34"/>
      <c r="Z32" s="34"/>
    </row>
    <row r="33" spans="1:26" ht="28.5" customHeight="1">
      <c r="A33" s="468" t="s">
        <v>1055</v>
      </c>
      <c r="B33" s="466">
        <v>2</v>
      </c>
      <c r="C33" s="467">
        <v>1105</v>
      </c>
      <c r="D33" s="30">
        <v>12</v>
      </c>
      <c r="E33" s="32">
        <f t="shared" si="2"/>
        <v>26520</v>
      </c>
      <c r="F33" s="455" t="s">
        <v>1039</v>
      </c>
      <c r="G33" s="34">
        <f t="shared" si="3"/>
        <v>26520</v>
      </c>
      <c r="H33" s="34">
        <f t="shared" si="4"/>
        <v>1800</v>
      </c>
      <c r="I33" s="34">
        <f t="shared" si="5"/>
        <v>6000</v>
      </c>
      <c r="J33" s="34"/>
      <c r="K33" s="34">
        <f t="shared" si="6"/>
        <v>27999.840000000004</v>
      </c>
      <c r="L33" s="33"/>
      <c r="M33" s="34"/>
      <c r="N33" s="34"/>
      <c r="O33" s="34"/>
      <c r="P33" s="34"/>
      <c r="Q33" s="34"/>
      <c r="R33" s="34">
        <f t="shared" si="0"/>
        <v>27194.639999999999</v>
      </c>
      <c r="S33" s="34">
        <f t="shared" si="1"/>
        <v>26520</v>
      </c>
      <c r="T33" s="34">
        <f t="shared" si="7"/>
        <v>26520</v>
      </c>
      <c r="U33" s="34"/>
      <c r="V33" s="34"/>
      <c r="W33" s="34"/>
      <c r="X33" s="34"/>
      <c r="Y33" s="34"/>
      <c r="Z33" s="34"/>
    </row>
    <row r="34" spans="1:26">
      <c r="A34" s="465" t="s">
        <v>43</v>
      </c>
      <c r="B34" s="466">
        <v>5</v>
      </c>
      <c r="C34" s="467">
        <v>1128</v>
      </c>
      <c r="D34" s="30">
        <v>12</v>
      </c>
      <c r="E34" s="32">
        <f t="shared" si="2"/>
        <v>67680</v>
      </c>
      <c r="F34" s="455" t="s">
        <v>1039</v>
      </c>
      <c r="G34" s="34">
        <f t="shared" si="3"/>
        <v>67680</v>
      </c>
      <c r="H34" s="34">
        <f t="shared" si="4"/>
        <v>4500</v>
      </c>
      <c r="I34" s="34">
        <f t="shared" si="5"/>
        <v>15000</v>
      </c>
      <c r="J34" s="34"/>
      <c r="K34" s="34">
        <f t="shared" si="6"/>
        <v>69999.600000000006</v>
      </c>
      <c r="L34" s="33"/>
      <c r="M34" s="34"/>
      <c r="N34" s="34"/>
      <c r="O34" s="34"/>
      <c r="P34" s="34"/>
      <c r="Q34" s="34"/>
      <c r="R34" s="34">
        <f t="shared" si="0"/>
        <v>67986.600000000006</v>
      </c>
      <c r="S34" s="34">
        <f t="shared" si="1"/>
        <v>67680</v>
      </c>
      <c r="T34" s="34">
        <f t="shared" si="7"/>
        <v>67680</v>
      </c>
      <c r="U34" s="34"/>
      <c r="V34" s="34"/>
      <c r="W34" s="34"/>
      <c r="X34" s="34"/>
      <c r="Y34" s="34"/>
      <c r="Z34" s="34"/>
    </row>
    <row r="35" spans="1:26">
      <c r="A35" s="468" t="s">
        <v>1056</v>
      </c>
      <c r="B35" s="466">
        <v>1</v>
      </c>
      <c r="C35" s="467">
        <v>1192</v>
      </c>
      <c r="D35" s="30">
        <v>12</v>
      </c>
      <c r="E35" s="32">
        <f t="shared" si="2"/>
        <v>14304</v>
      </c>
      <c r="F35" s="455" t="s">
        <v>1039</v>
      </c>
      <c r="G35" s="34">
        <f t="shared" si="3"/>
        <v>14304</v>
      </c>
      <c r="H35" s="34">
        <f t="shared" si="4"/>
        <v>900</v>
      </c>
      <c r="I35" s="34">
        <f t="shared" si="5"/>
        <v>3000</v>
      </c>
      <c r="J35" s="34"/>
      <c r="K35" s="34">
        <f t="shared" si="6"/>
        <v>13999.920000000002</v>
      </c>
      <c r="L35" s="33"/>
      <c r="M35" s="34"/>
      <c r="N35" s="34"/>
      <c r="O35" s="34"/>
      <c r="P35" s="34"/>
      <c r="Q35" s="34"/>
      <c r="R35" s="34">
        <f t="shared" si="0"/>
        <v>13597.32</v>
      </c>
      <c r="S35" s="34">
        <f t="shared" si="1"/>
        <v>14304</v>
      </c>
      <c r="T35" s="34">
        <f t="shared" si="7"/>
        <v>14304</v>
      </c>
      <c r="U35" s="34"/>
      <c r="V35" s="34"/>
      <c r="W35" s="34"/>
      <c r="X35" s="34"/>
      <c r="Y35" s="34"/>
      <c r="Z35" s="34"/>
    </row>
    <row r="36" spans="1:26">
      <c r="A36" s="465" t="s">
        <v>1057</v>
      </c>
      <c r="B36" s="466">
        <v>1</v>
      </c>
      <c r="C36" s="467">
        <v>1253</v>
      </c>
      <c r="D36" s="30">
        <v>12</v>
      </c>
      <c r="E36" s="32">
        <f t="shared" si="2"/>
        <v>15036</v>
      </c>
      <c r="F36" s="455" t="s">
        <v>1039</v>
      </c>
      <c r="G36" s="34">
        <f t="shared" si="3"/>
        <v>15036</v>
      </c>
      <c r="H36" s="34">
        <f t="shared" si="4"/>
        <v>900</v>
      </c>
      <c r="I36" s="34">
        <f t="shared" si="5"/>
        <v>3000</v>
      </c>
      <c r="J36" s="34"/>
      <c r="K36" s="34">
        <f t="shared" si="6"/>
        <v>13999.920000000002</v>
      </c>
      <c r="L36" s="33"/>
      <c r="M36" s="34"/>
      <c r="N36" s="34"/>
      <c r="O36" s="34"/>
      <c r="P36" s="34"/>
      <c r="Q36" s="34"/>
      <c r="R36" s="34">
        <f t="shared" si="0"/>
        <v>13597.32</v>
      </c>
      <c r="S36" s="34">
        <f t="shared" si="1"/>
        <v>15036</v>
      </c>
      <c r="T36" s="34">
        <f t="shared" si="7"/>
        <v>15036</v>
      </c>
      <c r="U36" s="34"/>
      <c r="V36" s="34"/>
      <c r="W36" s="34"/>
      <c r="X36" s="34"/>
      <c r="Y36" s="34"/>
      <c r="Z36" s="34"/>
    </row>
    <row r="37" spans="1:26">
      <c r="A37" s="468" t="s">
        <v>1048</v>
      </c>
      <c r="B37" s="466">
        <v>1</v>
      </c>
      <c r="C37" s="467">
        <v>1991</v>
      </c>
      <c r="D37" s="30">
        <v>12</v>
      </c>
      <c r="E37" s="32">
        <f t="shared" si="2"/>
        <v>23892</v>
      </c>
      <c r="F37" s="455" t="s">
        <v>1039</v>
      </c>
      <c r="G37" s="34">
        <f t="shared" si="3"/>
        <v>23892</v>
      </c>
      <c r="H37" s="34">
        <f t="shared" si="4"/>
        <v>900</v>
      </c>
      <c r="I37" s="34">
        <f t="shared" si="5"/>
        <v>3000</v>
      </c>
      <c r="J37" s="34"/>
      <c r="K37" s="34">
        <f t="shared" si="6"/>
        <v>13999.920000000002</v>
      </c>
      <c r="L37" s="33"/>
      <c r="M37" s="34"/>
      <c r="N37" s="34"/>
      <c r="O37" s="34"/>
      <c r="P37" s="34"/>
      <c r="Q37" s="34"/>
      <c r="R37" s="34">
        <f t="shared" si="0"/>
        <v>13597.32</v>
      </c>
      <c r="S37" s="34">
        <f t="shared" si="1"/>
        <v>23892</v>
      </c>
      <c r="T37" s="34">
        <f t="shared" si="7"/>
        <v>23892</v>
      </c>
      <c r="U37" s="34"/>
      <c r="V37" s="34"/>
      <c r="W37" s="34"/>
      <c r="X37" s="34"/>
      <c r="Y37" s="34"/>
      <c r="Z37" s="34"/>
    </row>
    <row r="38" spans="1:26" ht="29.25" customHeight="1">
      <c r="A38" s="468" t="s">
        <v>1058</v>
      </c>
      <c r="B38" s="466">
        <v>1</v>
      </c>
      <c r="C38" s="467">
        <v>1246</v>
      </c>
      <c r="D38" s="30">
        <v>12</v>
      </c>
      <c r="E38" s="32">
        <f t="shared" si="2"/>
        <v>14952</v>
      </c>
      <c r="F38" s="455" t="s">
        <v>1039</v>
      </c>
      <c r="G38" s="34">
        <f t="shared" si="3"/>
        <v>14952</v>
      </c>
      <c r="H38" s="34">
        <f t="shared" si="4"/>
        <v>900</v>
      </c>
      <c r="I38" s="34">
        <f t="shared" si="5"/>
        <v>3000</v>
      </c>
      <c r="J38" s="34"/>
      <c r="K38" s="34">
        <f t="shared" si="6"/>
        <v>13999.920000000002</v>
      </c>
      <c r="L38" s="33"/>
      <c r="M38" s="34"/>
      <c r="N38" s="34"/>
      <c r="O38" s="34"/>
      <c r="P38" s="34"/>
      <c r="Q38" s="34"/>
      <c r="R38" s="34">
        <f t="shared" si="0"/>
        <v>13597.32</v>
      </c>
      <c r="S38" s="34">
        <f t="shared" si="1"/>
        <v>14952</v>
      </c>
      <c r="T38" s="34">
        <f t="shared" si="7"/>
        <v>14952</v>
      </c>
      <c r="U38" s="34"/>
      <c r="V38" s="34"/>
      <c r="W38" s="34"/>
      <c r="X38" s="34"/>
      <c r="Y38" s="34"/>
      <c r="Z38" s="34"/>
    </row>
    <row r="39" spans="1:26" ht="30.75" customHeight="1">
      <c r="A39" s="468" t="s">
        <v>1059</v>
      </c>
      <c r="B39" s="466">
        <v>1</v>
      </c>
      <c r="C39" s="467">
        <v>1649</v>
      </c>
      <c r="D39" s="30">
        <v>12</v>
      </c>
      <c r="E39" s="32">
        <f t="shared" si="2"/>
        <v>19788</v>
      </c>
      <c r="F39" s="455" t="s">
        <v>1039</v>
      </c>
      <c r="G39" s="34">
        <f t="shared" si="3"/>
        <v>19788</v>
      </c>
      <c r="H39" s="34">
        <f t="shared" si="4"/>
        <v>900</v>
      </c>
      <c r="I39" s="34">
        <f t="shared" si="5"/>
        <v>3000</v>
      </c>
      <c r="J39" s="34"/>
      <c r="K39" s="34">
        <f t="shared" si="6"/>
        <v>13999.920000000002</v>
      </c>
      <c r="L39" s="33"/>
      <c r="M39" s="34"/>
      <c r="N39" s="34"/>
      <c r="O39" s="34"/>
      <c r="P39" s="34"/>
      <c r="Q39" s="34"/>
      <c r="R39" s="34">
        <f t="shared" si="0"/>
        <v>13597.32</v>
      </c>
      <c r="S39" s="34">
        <f t="shared" si="1"/>
        <v>19788</v>
      </c>
      <c r="T39" s="34">
        <f t="shared" si="7"/>
        <v>19788</v>
      </c>
      <c r="U39" s="34"/>
      <c r="V39" s="34"/>
      <c r="W39" s="34"/>
      <c r="X39" s="34"/>
      <c r="Y39" s="34"/>
      <c r="Z39" s="34"/>
    </row>
    <row r="40" spans="1:26">
      <c r="A40" s="468" t="s">
        <v>1060</v>
      </c>
      <c r="B40" s="466">
        <v>5</v>
      </c>
      <c r="C40" s="467">
        <v>1135</v>
      </c>
      <c r="D40" s="30">
        <v>12</v>
      </c>
      <c r="E40" s="32">
        <f t="shared" si="2"/>
        <v>68100</v>
      </c>
      <c r="F40" s="455" t="s">
        <v>1039</v>
      </c>
      <c r="G40" s="34">
        <f t="shared" si="3"/>
        <v>68100</v>
      </c>
      <c r="H40" s="34">
        <f t="shared" si="4"/>
        <v>4500</v>
      </c>
      <c r="I40" s="34">
        <f t="shared" si="5"/>
        <v>15000</v>
      </c>
      <c r="J40" s="34"/>
      <c r="K40" s="34">
        <f t="shared" si="6"/>
        <v>69999.600000000006</v>
      </c>
      <c r="L40" s="33"/>
      <c r="M40" s="34"/>
      <c r="N40" s="34"/>
      <c r="O40" s="34"/>
      <c r="P40" s="34"/>
      <c r="Q40" s="34"/>
      <c r="R40" s="34">
        <f t="shared" si="0"/>
        <v>67986.600000000006</v>
      </c>
      <c r="S40" s="34">
        <f t="shared" si="1"/>
        <v>68100</v>
      </c>
      <c r="T40" s="34">
        <f t="shared" si="7"/>
        <v>68100</v>
      </c>
      <c r="U40" s="34"/>
      <c r="V40" s="34"/>
      <c r="W40" s="34"/>
      <c r="X40" s="34"/>
      <c r="Y40" s="34"/>
      <c r="Z40" s="34"/>
    </row>
    <row r="41" spans="1:26" ht="26.25" customHeight="1">
      <c r="A41" s="468" t="s">
        <v>1040</v>
      </c>
      <c r="B41" s="466">
        <v>2</v>
      </c>
      <c r="C41" s="467">
        <v>1135</v>
      </c>
      <c r="D41" s="30">
        <v>12</v>
      </c>
      <c r="E41" s="32">
        <f t="shared" si="2"/>
        <v>27240</v>
      </c>
      <c r="F41" s="455" t="s">
        <v>1039</v>
      </c>
      <c r="G41" s="34">
        <f t="shared" si="3"/>
        <v>27240</v>
      </c>
      <c r="H41" s="34">
        <f t="shared" si="4"/>
        <v>1800</v>
      </c>
      <c r="I41" s="34">
        <f t="shared" si="5"/>
        <v>6000</v>
      </c>
      <c r="J41" s="34"/>
      <c r="K41" s="34">
        <f t="shared" si="6"/>
        <v>27999.840000000004</v>
      </c>
      <c r="L41" s="33"/>
      <c r="M41" s="34"/>
      <c r="N41" s="34"/>
      <c r="O41" s="34"/>
      <c r="P41" s="34"/>
      <c r="Q41" s="34"/>
      <c r="R41" s="34">
        <f t="shared" si="0"/>
        <v>27194.639999999999</v>
      </c>
      <c r="S41" s="34">
        <f t="shared" si="1"/>
        <v>27240</v>
      </c>
      <c r="T41" s="34">
        <f t="shared" si="7"/>
        <v>27240</v>
      </c>
      <c r="U41" s="34"/>
      <c r="V41" s="34"/>
      <c r="W41" s="34"/>
      <c r="X41" s="34"/>
      <c r="Y41" s="34"/>
      <c r="Z41" s="34"/>
    </row>
    <row r="42" spans="1:26" ht="23.25">
      <c r="A42" s="468" t="s">
        <v>1061</v>
      </c>
      <c r="B42" s="466">
        <v>1</v>
      </c>
      <c r="C42" s="467">
        <v>1168</v>
      </c>
      <c r="D42" s="30">
        <v>12</v>
      </c>
      <c r="E42" s="32">
        <f t="shared" si="2"/>
        <v>14016</v>
      </c>
      <c r="F42" s="455" t="s">
        <v>1039</v>
      </c>
      <c r="G42" s="34">
        <f t="shared" si="3"/>
        <v>14016</v>
      </c>
      <c r="H42" s="34">
        <f t="shared" si="4"/>
        <v>900</v>
      </c>
      <c r="I42" s="34">
        <f t="shared" si="5"/>
        <v>3000</v>
      </c>
      <c r="J42" s="34"/>
      <c r="K42" s="34">
        <f t="shared" si="6"/>
        <v>13999.920000000002</v>
      </c>
      <c r="L42" s="33"/>
      <c r="M42" s="34"/>
      <c r="N42" s="34"/>
      <c r="O42" s="34"/>
      <c r="P42" s="34"/>
      <c r="Q42" s="34"/>
      <c r="R42" s="34">
        <f t="shared" si="0"/>
        <v>13597.32</v>
      </c>
      <c r="S42" s="34">
        <f t="shared" si="1"/>
        <v>14016</v>
      </c>
      <c r="T42" s="34">
        <f t="shared" si="7"/>
        <v>14016</v>
      </c>
      <c r="U42" s="34"/>
      <c r="V42" s="34"/>
      <c r="W42" s="34"/>
      <c r="X42" s="34"/>
      <c r="Y42" s="34"/>
      <c r="Z42" s="34"/>
    </row>
    <row r="43" spans="1:26">
      <c r="A43" s="468" t="s">
        <v>1062</v>
      </c>
      <c r="B43" s="466">
        <v>1</v>
      </c>
      <c r="C43" s="467">
        <v>1831</v>
      </c>
      <c r="D43" s="30">
        <v>12</v>
      </c>
      <c r="E43" s="32">
        <f t="shared" si="2"/>
        <v>21972</v>
      </c>
      <c r="F43" s="455" t="s">
        <v>1039</v>
      </c>
      <c r="G43" s="34">
        <f t="shared" si="3"/>
        <v>21972</v>
      </c>
      <c r="H43" s="34">
        <f t="shared" si="4"/>
        <v>900</v>
      </c>
      <c r="I43" s="34">
        <f t="shared" si="5"/>
        <v>3000</v>
      </c>
      <c r="J43" s="34"/>
      <c r="K43" s="34">
        <f t="shared" si="6"/>
        <v>13999.920000000002</v>
      </c>
      <c r="L43" s="33"/>
      <c r="M43" s="34"/>
      <c r="N43" s="34"/>
      <c r="O43" s="34"/>
      <c r="P43" s="34"/>
      <c r="Q43" s="34"/>
      <c r="R43" s="34">
        <f t="shared" si="0"/>
        <v>13597.32</v>
      </c>
      <c r="S43" s="34">
        <f t="shared" si="1"/>
        <v>21972</v>
      </c>
      <c r="T43" s="34">
        <f t="shared" si="7"/>
        <v>21972</v>
      </c>
      <c r="U43" s="34"/>
      <c r="V43" s="34"/>
      <c r="W43" s="34"/>
      <c r="X43" s="34"/>
      <c r="Y43" s="34"/>
      <c r="Z43" s="34"/>
    </row>
    <row r="44" spans="1:26">
      <c r="A44" s="468" t="s">
        <v>1063</v>
      </c>
      <c r="B44" s="466">
        <v>1</v>
      </c>
      <c r="C44" s="467">
        <v>1831</v>
      </c>
      <c r="D44" s="30">
        <v>12</v>
      </c>
      <c r="E44" s="32">
        <f t="shared" si="2"/>
        <v>21972</v>
      </c>
      <c r="F44" s="455" t="s">
        <v>1039</v>
      </c>
      <c r="G44" s="34">
        <f t="shared" si="3"/>
        <v>21972</v>
      </c>
      <c r="H44" s="34">
        <f t="shared" si="4"/>
        <v>900</v>
      </c>
      <c r="I44" s="34">
        <f t="shared" si="5"/>
        <v>3000</v>
      </c>
      <c r="J44" s="34"/>
      <c r="K44" s="34">
        <f t="shared" si="6"/>
        <v>13999.920000000002</v>
      </c>
      <c r="L44" s="33"/>
      <c r="M44" s="34"/>
      <c r="N44" s="34"/>
      <c r="O44" s="34"/>
      <c r="P44" s="34"/>
      <c r="Q44" s="34"/>
      <c r="R44" s="34">
        <f t="shared" si="0"/>
        <v>13597.32</v>
      </c>
      <c r="S44" s="34">
        <f t="shared" si="1"/>
        <v>21972</v>
      </c>
      <c r="T44" s="34">
        <f t="shared" si="7"/>
        <v>21972</v>
      </c>
      <c r="U44" s="34"/>
      <c r="V44" s="34"/>
      <c r="W44" s="34"/>
      <c r="X44" s="34"/>
      <c r="Y44" s="34"/>
      <c r="Z44" s="34"/>
    </row>
    <row r="45" spans="1:26">
      <c r="A45" s="468" t="s">
        <v>1064</v>
      </c>
      <c r="B45" s="466">
        <v>1</v>
      </c>
      <c r="C45" s="467">
        <v>1831</v>
      </c>
      <c r="D45" s="30">
        <v>12</v>
      </c>
      <c r="E45" s="32">
        <f t="shared" si="2"/>
        <v>21972</v>
      </c>
      <c r="F45" s="455" t="s">
        <v>1039</v>
      </c>
      <c r="G45" s="34">
        <f t="shared" si="3"/>
        <v>21972</v>
      </c>
      <c r="H45" s="34">
        <f t="shared" si="4"/>
        <v>900</v>
      </c>
      <c r="I45" s="34">
        <f t="shared" si="5"/>
        <v>3000</v>
      </c>
      <c r="J45" s="34"/>
      <c r="K45" s="34">
        <f t="shared" si="6"/>
        <v>13999.920000000002</v>
      </c>
      <c r="L45" s="33"/>
      <c r="M45" s="34"/>
      <c r="N45" s="34"/>
      <c r="O45" s="34"/>
      <c r="P45" s="34"/>
      <c r="Q45" s="34"/>
      <c r="R45" s="34">
        <f t="shared" si="0"/>
        <v>13597.32</v>
      </c>
      <c r="S45" s="34">
        <f t="shared" si="1"/>
        <v>21972</v>
      </c>
      <c r="T45" s="34">
        <f t="shared" si="7"/>
        <v>21972</v>
      </c>
      <c r="U45" s="34"/>
      <c r="V45" s="34"/>
      <c r="W45" s="34"/>
      <c r="X45" s="34"/>
      <c r="Y45" s="34"/>
      <c r="Z45" s="34"/>
    </row>
    <row r="46" spans="1:26">
      <c r="A46" s="468" t="s">
        <v>1065</v>
      </c>
      <c r="B46" s="466">
        <v>1</v>
      </c>
      <c r="C46" s="467">
        <v>1460</v>
      </c>
      <c r="D46" s="30">
        <v>12</v>
      </c>
      <c r="E46" s="32">
        <f t="shared" si="2"/>
        <v>17520</v>
      </c>
      <c r="F46" s="455" t="s">
        <v>1039</v>
      </c>
      <c r="G46" s="34">
        <f t="shared" si="3"/>
        <v>17520</v>
      </c>
      <c r="H46" s="34">
        <f t="shared" si="4"/>
        <v>900</v>
      </c>
      <c r="I46" s="34">
        <f t="shared" si="5"/>
        <v>3000</v>
      </c>
      <c r="J46" s="34"/>
      <c r="K46" s="34">
        <f t="shared" si="6"/>
        <v>13999.920000000002</v>
      </c>
      <c r="L46" s="33"/>
      <c r="M46" s="34"/>
      <c r="N46" s="34"/>
      <c r="O46" s="34"/>
      <c r="P46" s="34"/>
      <c r="Q46" s="34"/>
      <c r="R46" s="34">
        <f t="shared" si="0"/>
        <v>13597.32</v>
      </c>
      <c r="S46" s="34">
        <f t="shared" si="1"/>
        <v>17520</v>
      </c>
      <c r="T46" s="34">
        <f t="shared" si="7"/>
        <v>17520</v>
      </c>
      <c r="U46" s="34"/>
      <c r="V46" s="34"/>
      <c r="W46" s="34"/>
      <c r="X46" s="34"/>
      <c r="Y46" s="34"/>
      <c r="Z46" s="34"/>
    </row>
    <row r="47" spans="1:26">
      <c r="A47" s="469" t="s">
        <v>1066</v>
      </c>
      <c r="B47" s="470">
        <v>1</v>
      </c>
      <c r="C47" s="471">
        <v>1039</v>
      </c>
      <c r="D47" s="30">
        <v>12</v>
      </c>
      <c r="E47" s="32">
        <f t="shared" si="2"/>
        <v>12468</v>
      </c>
      <c r="F47" s="455" t="s">
        <v>1039</v>
      </c>
      <c r="G47" s="34">
        <f t="shared" si="3"/>
        <v>12468</v>
      </c>
      <c r="H47" s="34">
        <f t="shared" si="4"/>
        <v>900</v>
      </c>
      <c r="I47" s="34">
        <f t="shared" si="5"/>
        <v>3000</v>
      </c>
      <c r="J47" s="34"/>
      <c r="K47" s="34">
        <f t="shared" si="6"/>
        <v>13999.920000000002</v>
      </c>
      <c r="L47" s="33"/>
      <c r="M47" s="34"/>
      <c r="N47" s="34"/>
      <c r="O47" s="34"/>
      <c r="P47" s="34"/>
      <c r="Q47" s="34"/>
      <c r="R47" s="34">
        <f t="shared" si="0"/>
        <v>13597.32</v>
      </c>
      <c r="S47" s="34">
        <f t="shared" si="1"/>
        <v>12468</v>
      </c>
      <c r="T47" s="34">
        <f t="shared" si="7"/>
        <v>12468</v>
      </c>
      <c r="U47" s="34"/>
      <c r="V47" s="34"/>
      <c r="W47" s="34"/>
      <c r="X47" s="34"/>
      <c r="Y47" s="34"/>
      <c r="Z47" s="34"/>
    </row>
    <row r="48" spans="1:26">
      <c r="A48" s="469" t="s">
        <v>1049</v>
      </c>
      <c r="B48" s="470">
        <v>1</v>
      </c>
      <c r="C48" s="471">
        <v>1105</v>
      </c>
      <c r="D48" s="30">
        <v>12</v>
      </c>
      <c r="E48" s="32">
        <f t="shared" si="2"/>
        <v>13260</v>
      </c>
      <c r="F48" s="455" t="s">
        <v>1039</v>
      </c>
      <c r="G48" s="34">
        <f t="shared" si="3"/>
        <v>13260</v>
      </c>
      <c r="H48" s="34">
        <f t="shared" si="4"/>
        <v>900</v>
      </c>
      <c r="I48" s="34">
        <f t="shared" si="5"/>
        <v>3000</v>
      </c>
      <c r="J48" s="34"/>
      <c r="K48" s="34">
        <f t="shared" si="6"/>
        <v>13999.920000000002</v>
      </c>
      <c r="L48" s="33"/>
      <c r="M48" s="34"/>
      <c r="N48" s="34"/>
      <c r="O48" s="34"/>
      <c r="P48" s="34"/>
      <c r="Q48" s="34"/>
      <c r="R48" s="34">
        <f t="shared" si="0"/>
        <v>13597.32</v>
      </c>
      <c r="S48" s="34">
        <f t="shared" si="1"/>
        <v>13260</v>
      </c>
      <c r="T48" s="34">
        <f t="shared" si="7"/>
        <v>13260</v>
      </c>
      <c r="U48" s="34"/>
      <c r="V48" s="34"/>
      <c r="W48" s="34"/>
      <c r="X48" s="34"/>
      <c r="Y48" s="34"/>
      <c r="Z48" s="34"/>
    </row>
    <row r="49" spans="1:26">
      <c r="A49" s="469" t="s">
        <v>1045</v>
      </c>
      <c r="B49" s="470">
        <v>1</v>
      </c>
      <c r="C49" s="471">
        <v>1246</v>
      </c>
      <c r="D49" s="30">
        <v>12</v>
      </c>
      <c r="E49" s="32">
        <f t="shared" si="2"/>
        <v>14952</v>
      </c>
      <c r="F49" s="455" t="s">
        <v>1039</v>
      </c>
      <c r="G49" s="34">
        <f t="shared" si="3"/>
        <v>14952</v>
      </c>
      <c r="H49" s="34">
        <f t="shared" si="4"/>
        <v>900</v>
      </c>
      <c r="I49" s="34">
        <f t="shared" si="5"/>
        <v>3000</v>
      </c>
      <c r="J49" s="34"/>
      <c r="K49" s="34">
        <f t="shared" si="6"/>
        <v>13999.920000000002</v>
      </c>
      <c r="L49" s="33"/>
      <c r="M49" s="34"/>
      <c r="N49" s="34"/>
      <c r="O49" s="34"/>
      <c r="P49" s="34"/>
      <c r="Q49" s="34"/>
      <c r="R49" s="34">
        <f t="shared" si="0"/>
        <v>13597.32</v>
      </c>
      <c r="S49" s="34">
        <f t="shared" si="1"/>
        <v>14952</v>
      </c>
      <c r="T49" s="34">
        <f t="shared" si="7"/>
        <v>14952</v>
      </c>
      <c r="U49" s="34"/>
      <c r="V49" s="34"/>
      <c r="W49" s="34"/>
      <c r="X49" s="34"/>
      <c r="Y49" s="34"/>
      <c r="Z49" s="34"/>
    </row>
    <row r="50" spans="1:26">
      <c r="A50" s="469" t="s">
        <v>43</v>
      </c>
      <c r="B50" s="470">
        <v>1</v>
      </c>
      <c r="C50" s="471">
        <v>1128</v>
      </c>
      <c r="D50" s="30">
        <v>12</v>
      </c>
      <c r="E50" s="32">
        <f t="shared" si="2"/>
        <v>13536</v>
      </c>
      <c r="F50" s="455" t="s">
        <v>1039</v>
      </c>
      <c r="G50" s="34">
        <f t="shared" si="3"/>
        <v>13536</v>
      </c>
      <c r="H50" s="34">
        <f t="shared" si="4"/>
        <v>900</v>
      </c>
      <c r="I50" s="34">
        <f t="shared" si="5"/>
        <v>3000</v>
      </c>
      <c r="J50" s="34"/>
      <c r="K50" s="34">
        <f t="shared" si="6"/>
        <v>13999.920000000002</v>
      </c>
      <c r="L50" s="33"/>
      <c r="M50" s="34"/>
      <c r="N50" s="34"/>
      <c r="O50" s="34"/>
      <c r="P50" s="34"/>
      <c r="Q50" s="34"/>
      <c r="R50" s="34">
        <f t="shared" si="0"/>
        <v>13597.32</v>
      </c>
      <c r="S50" s="34">
        <f t="shared" si="1"/>
        <v>13536</v>
      </c>
      <c r="T50" s="34">
        <f t="shared" si="7"/>
        <v>13536</v>
      </c>
      <c r="U50" s="34"/>
      <c r="V50" s="34"/>
      <c r="W50" s="34"/>
      <c r="X50" s="34"/>
      <c r="Y50" s="34"/>
      <c r="Z50" s="34"/>
    </row>
    <row r="51" spans="1:26">
      <c r="A51" s="469" t="s">
        <v>1048</v>
      </c>
      <c r="B51" s="470">
        <v>1</v>
      </c>
      <c r="C51" s="471">
        <v>1991</v>
      </c>
      <c r="D51" s="30">
        <v>12</v>
      </c>
      <c r="E51" s="32">
        <f t="shared" si="2"/>
        <v>23892</v>
      </c>
      <c r="F51" s="455" t="s">
        <v>1039</v>
      </c>
      <c r="G51" s="34">
        <f t="shared" si="3"/>
        <v>23892</v>
      </c>
      <c r="H51" s="34">
        <f t="shared" si="4"/>
        <v>900</v>
      </c>
      <c r="I51" s="34">
        <f t="shared" si="5"/>
        <v>3000</v>
      </c>
      <c r="J51" s="34"/>
      <c r="K51" s="34">
        <f t="shared" si="6"/>
        <v>13999.920000000002</v>
      </c>
      <c r="L51" s="33"/>
      <c r="M51" s="34"/>
      <c r="N51" s="34"/>
      <c r="O51" s="34"/>
      <c r="P51" s="34"/>
      <c r="Q51" s="34"/>
      <c r="R51" s="34">
        <f t="shared" si="0"/>
        <v>13597.32</v>
      </c>
      <c r="S51" s="34">
        <f t="shared" si="1"/>
        <v>23892</v>
      </c>
      <c r="T51" s="34">
        <f t="shared" si="7"/>
        <v>23892</v>
      </c>
      <c r="U51" s="34"/>
      <c r="V51" s="34"/>
      <c r="W51" s="34"/>
      <c r="X51" s="34"/>
      <c r="Y51" s="34"/>
      <c r="Z51" s="34"/>
    </row>
    <row r="52" spans="1:26" ht="30" customHeight="1">
      <c r="A52" s="472" t="s">
        <v>1059</v>
      </c>
      <c r="B52" s="470">
        <v>1</v>
      </c>
      <c r="C52" s="471">
        <v>1649</v>
      </c>
      <c r="D52" s="30">
        <v>12</v>
      </c>
      <c r="E52" s="32">
        <f t="shared" si="2"/>
        <v>19788</v>
      </c>
      <c r="F52" s="455" t="s">
        <v>1039</v>
      </c>
      <c r="G52" s="34">
        <f t="shared" si="3"/>
        <v>19788</v>
      </c>
      <c r="H52" s="34">
        <f t="shared" si="4"/>
        <v>900</v>
      </c>
      <c r="I52" s="34">
        <f t="shared" si="5"/>
        <v>3000</v>
      </c>
      <c r="J52" s="34"/>
      <c r="K52" s="34">
        <f t="shared" si="6"/>
        <v>13999.920000000002</v>
      </c>
      <c r="L52" s="33"/>
      <c r="M52" s="34"/>
      <c r="N52" s="34"/>
      <c r="O52" s="34"/>
      <c r="P52" s="34"/>
      <c r="Q52" s="34"/>
      <c r="R52" s="34">
        <f t="shared" si="0"/>
        <v>13597.32</v>
      </c>
      <c r="S52" s="34">
        <f t="shared" si="1"/>
        <v>19788</v>
      </c>
      <c r="T52" s="34">
        <f t="shared" si="7"/>
        <v>19788</v>
      </c>
      <c r="U52" s="34"/>
      <c r="V52" s="34"/>
      <c r="W52" s="34"/>
      <c r="X52" s="34"/>
      <c r="Y52" s="34"/>
      <c r="Z52" s="34"/>
    </row>
    <row r="53" spans="1:26">
      <c r="A53" s="473" t="s">
        <v>823</v>
      </c>
      <c r="B53" s="474">
        <v>3</v>
      </c>
      <c r="C53" s="475">
        <v>1682</v>
      </c>
      <c r="D53" s="30">
        <v>12</v>
      </c>
      <c r="E53" s="32">
        <f t="shared" si="2"/>
        <v>60552</v>
      </c>
      <c r="F53" s="455" t="s">
        <v>1039</v>
      </c>
      <c r="G53" s="34">
        <f t="shared" si="3"/>
        <v>60552</v>
      </c>
      <c r="H53" s="34">
        <f t="shared" si="4"/>
        <v>2700</v>
      </c>
      <c r="I53" s="34">
        <f t="shared" si="5"/>
        <v>9000</v>
      </c>
      <c r="J53" s="34"/>
      <c r="K53" s="34">
        <f t="shared" si="6"/>
        <v>41999.760000000009</v>
      </c>
      <c r="L53" s="33"/>
      <c r="M53" s="34"/>
      <c r="N53" s="34"/>
      <c r="O53" s="34"/>
      <c r="P53" s="34"/>
      <c r="Q53" s="34"/>
      <c r="R53" s="34">
        <f t="shared" si="0"/>
        <v>40791.96</v>
      </c>
      <c r="S53" s="34">
        <f t="shared" si="1"/>
        <v>60552</v>
      </c>
      <c r="T53" s="34">
        <f t="shared" si="7"/>
        <v>60552</v>
      </c>
      <c r="U53" s="34"/>
      <c r="V53" s="34"/>
      <c r="W53" s="34"/>
      <c r="X53" s="34"/>
      <c r="Y53" s="34"/>
      <c r="Z53" s="34"/>
    </row>
    <row r="54" spans="1:26">
      <c r="A54" s="476" t="s">
        <v>1067</v>
      </c>
      <c r="B54" s="477">
        <v>1</v>
      </c>
      <c r="C54" s="478">
        <v>2281</v>
      </c>
      <c r="D54" s="30">
        <v>12</v>
      </c>
      <c r="E54" s="32">
        <f t="shared" si="2"/>
        <v>27372</v>
      </c>
      <c r="F54" s="455" t="s">
        <v>1039</v>
      </c>
      <c r="G54" s="34">
        <f t="shared" si="3"/>
        <v>27372</v>
      </c>
      <c r="H54" s="34">
        <f t="shared" si="4"/>
        <v>900</v>
      </c>
      <c r="I54" s="34">
        <f t="shared" si="5"/>
        <v>3000</v>
      </c>
      <c r="J54" s="34"/>
      <c r="K54" s="34">
        <f t="shared" si="6"/>
        <v>13999.920000000002</v>
      </c>
      <c r="L54" s="33"/>
      <c r="M54" s="34"/>
      <c r="N54" s="34"/>
      <c r="O54" s="34"/>
      <c r="P54" s="34"/>
      <c r="Q54" s="34"/>
      <c r="R54" s="34">
        <f t="shared" si="0"/>
        <v>13597.32</v>
      </c>
      <c r="S54" s="34">
        <f t="shared" si="1"/>
        <v>27372</v>
      </c>
      <c r="T54" s="34">
        <f t="shared" si="7"/>
        <v>27372</v>
      </c>
      <c r="U54" s="34"/>
      <c r="V54" s="34"/>
      <c r="W54" s="34"/>
      <c r="X54" s="34"/>
      <c r="Y54" s="34"/>
      <c r="Z54" s="34"/>
    </row>
    <row r="55" spans="1:26">
      <c r="A55" s="476" t="s">
        <v>1068</v>
      </c>
      <c r="B55" s="477">
        <v>1</v>
      </c>
      <c r="C55" s="478">
        <v>1460</v>
      </c>
      <c r="D55" s="30">
        <v>12</v>
      </c>
      <c r="E55" s="32">
        <f t="shared" si="2"/>
        <v>17520</v>
      </c>
      <c r="F55" s="455" t="s">
        <v>1039</v>
      </c>
      <c r="G55" s="34">
        <f t="shared" si="3"/>
        <v>17520</v>
      </c>
      <c r="H55" s="34">
        <f t="shared" si="4"/>
        <v>900</v>
      </c>
      <c r="I55" s="34">
        <f t="shared" si="5"/>
        <v>3000</v>
      </c>
      <c r="J55" s="34"/>
      <c r="K55" s="34">
        <f t="shared" si="6"/>
        <v>13999.920000000002</v>
      </c>
      <c r="L55" s="33"/>
      <c r="M55" s="34"/>
      <c r="N55" s="34"/>
      <c r="O55" s="34"/>
      <c r="P55" s="34"/>
      <c r="Q55" s="34"/>
      <c r="R55" s="34">
        <f t="shared" si="0"/>
        <v>13597.32</v>
      </c>
      <c r="S55" s="34">
        <f t="shared" si="1"/>
        <v>17520</v>
      </c>
      <c r="T55" s="34">
        <f t="shared" si="7"/>
        <v>17520</v>
      </c>
      <c r="U55" s="34"/>
      <c r="V55" s="34"/>
      <c r="W55" s="34"/>
      <c r="X55" s="34"/>
      <c r="Y55" s="34"/>
      <c r="Z55" s="34"/>
    </row>
    <row r="56" spans="1:26">
      <c r="A56" s="476" t="s">
        <v>1052</v>
      </c>
      <c r="B56" s="477">
        <v>2</v>
      </c>
      <c r="C56" s="478">
        <v>1074</v>
      </c>
      <c r="D56" s="30">
        <v>12</v>
      </c>
      <c r="E56" s="32">
        <f t="shared" si="2"/>
        <v>25776</v>
      </c>
      <c r="F56" s="455" t="s">
        <v>1039</v>
      </c>
      <c r="G56" s="34">
        <f t="shared" si="3"/>
        <v>25776</v>
      </c>
      <c r="H56" s="34">
        <f t="shared" si="4"/>
        <v>1800</v>
      </c>
      <c r="I56" s="34">
        <f t="shared" si="5"/>
        <v>6000</v>
      </c>
      <c r="J56" s="34"/>
      <c r="K56" s="34">
        <f t="shared" si="6"/>
        <v>27999.840000000004</v>
      </c>
      <c r="L56" s="33"/>
      <c r="M56" s="34"/>
      <c r="N56" s="34"/>
      <c r="O56" s="34"/>
      <c r="P56" s="34"/>
      <c r="Q56" s="34"/>
      <c r="R56" s="34">
        <f t="shared" si="0"/>
        <v>27194.639999999999</v>
      </c>
      <c r="S56" s="34">
        <f t="shared" si="1"/>
        <v>25776</v>
      </c>
      <c r="T56" s="34">
        <f t="shared" si="7"/>
        <v>25776</v>
      </c>
      <c r="U56" s="34"/>
      <c r="V56" s="34"/>
      <c r="W56" s="34"/>
      <c r="X56" s="34"/>
      <c r="Y56" s="34"/>
      <c r="Z56" s="34"/>
    </row>
    <row r="57" spans="1:26">
      <c r="A57" s="476" t="s">
        <v>1069</v>
      </c>
      <c r="B57" s="477">
        <v>1</v>
      </c>
      <c r="C57" s="478">
        <v>2604</v>
      </c>
      <c r="D57" s="30">
        <v>12</v>
      </c>
      <c r="E57" s="32">
        <f t="shared" si="2"/>
        <v>31248</v>
      </c>
      <c r="F57" s="455" t="s">
        <v>1039</v>
      </c>
      <c r="G57" s="34">
        <f t="shared" si="3"/>
        <v>31248</v>
      </c>
      <c r="H57" s="34">
        <f t="shared" si="4"/>
        <v>900</v>
      </c>
      <c r="I57" s="34">
        <f t="shared" si="5"/>
        <v>3000</v>
      </c>
      <c r="J57" s="34"/>
      <c r="K57" s="34">
        <f t="shared" si="6"/>
        <v>13999.920000000002</v>
      </c>
      <c r="L57" s="33"/>
      <c r="M57" s="34"/>
      <c r="N57" s="34"/>
      <c r="O57" s="34"/>
      <c r="P57" s="34"/>
      <c r="Q57" s="34"/>
      <c r="R57" s="34">
        <f t="shared" si="0"/>
        <v>13597.32</v>
      </c>
      <c r="S57" s="34">
        <f t="shared" si="1"/>
        <v>31248</v>
      </c>
      <c r="T57" s="34">
        <f t="shared" si="7"/>
        <v>31248</v>
      </c>
      <c r="U57" s="34"/>
      <c r="V57" s="34"/>
      <c r="W57" s="34"/>
      <c r="X57" s="34"/>
      <c r="Y57" s="34"/>
      <c r="Z57" s="34"/>
    </row>
    <row r="58" spans="1:26">
      <c r="A58" s="479" t="s">
        <v>1070</v>
      </c>
      <c r="B58" s="453">
        <v>3</v>
      </c>
      <c r="C58" s="480">
        <v>1460</v>
      </c>
      <c r="D58" s="30">
        <v>12</v>
      </c>
      <c r="E58" s="32">
        <f t="shared" si="2"/>
        <v>52560</v>
      </c>
      <c r="F58" s="455" t="s">
        <v>1039</v>
      </c>
      <c r="G58" s="34">
        <f t="shared" si="3"/>
        <v>52560</v>
      </c>
      <c r="H58" s="34">
        <f t="shared" si="4"/>
        <v>2700</v>
      </c>
      <c r="I58" s="34">
        <f t="shared" si="5"/>
        <v>9000</v>
      </c>
      <c r="J58" s="34"/>
      <c r="K58" s="34">
        <f t="shared" si="6"/>
        <v>41999.760000000009</v>
      </c>
      <c r="L58" s="33"/>
      <c r="M58" s="34"/>
      <c r="N58" s="34"/>
      <c r="O58" s="34"/>
      <c r="P58" s="34"/>
      <c r="Q58" s="34"/>
      <c r="R58" s="34">
        <f t="shared" si="0"/>
        <v>40791.96</v>
      </c>
      <c r="S58" s="34">
        <f t="shared" si="1"/>
        <v>52560</v>
      </c>
      <c r="T58" s="34">
        <f t="shared" si="7"/>
        <v>52560</v>
      </c>
      <c r="U58" s="34"/>
      <c r="V58" s="34"/>
      <c r="W58" s="34"/>
      <c r="X58" s="34"/>
      <c r="Y58" s="34"/>
      <c r="Z58" s="34"/>
    </row>
    <row r="59" spans="1:26">
      <c r="A59" s="481" t="s">
        <v>1071</v>
      </c>
      <c r="B59" s="453">
        <v>1</v>
      </c>
      <c r="C59" s="482">
        <v>1302</v>
      </c>
      <c r="D59" s="30">
        <v>12</v>
      </c>
      <c r="E59" s="32">
        <f t="shared" si="2"/>
        <v>15624</v>
      </c>
      <c r="F59" s="455" t="s">
        <v>1039</v>
      </c>
      <c r="G59" s="34">
        <f t="shared" si="3"/>
        <v>15624</v>
      </c>
      <c r="H59" s="34">
        <f t="shared" si="4"/>
        <v>900</v>
      </c>
      <c r="I59" s="34">
        <f t="shared" si="5"/>
        <v>3000</v>
      </c>
      <c r="J59" s="34"/>
      <c r="K59" s="34">
        <f t="shared" si="6"/>
        <v>13999.920000000002</v>
      </c>
      <c r="L59" s="33"/>
      <c r="M59" s="34"/>
      <c r="N59" s="34"/>
      <c r="O59" s="34"/>
      <c r="P59" s="34"/>
      <c r="Q59" s="34"/>
      <c r="R59" s="34">
        <f t="shared" si="0"/>
        <v>13597.32</v>
      </c>
      <c r="S59" s="34">
        <f t="shared" si="1"/>
        <v>15624</v>
      </c>
      <c r="T59" s="34">
        <f t="shared" si="7"/>
        <v>15624</v>
      </c>
      <c r="U59" s="34"/>
      <c r="V59" s="34"/>
      <c r="W59" s="34"/>
      <c r="X59" s="34"/>
      <c r="Y59" s="34"/>
      <c r="Z59" s="34"/>
    </row>
    <row r="60" spans="1:26">
      <c r="A60" s="481" t="s">
        <v>1072</v>
      </c>
      <c r="B60" s="453">
        <v>1</v>
      </c>
      <c r="C60" s="483">
        <v>1460</v>
      </c>
      <c r="D60" s="30">
        <v>12</v>
      </c>
      <c r="E60" s="32">
        <f t="shared" si="2"/>
        <v>17520</v>
      </c>
      <c r="F60" s="455" t="s">
        <v>1039</v>
      </c>
      <c r="G60" s="34">
        <f t="shared" si="3"/>
        <v>17520</v>
      </c>
      <c r="H60" s="34">
        <f t="shared" si="4"/>
        <v>900</v>
      </c>
      <c r="I60" s="34">
        <f t="shared" si="5"/>
        <v>3000</v>
      </c>
      <c r="J60" s="34"/>
      <c r="K60" s="34">
        <f t="shared" si="6"/>
        <v>13999.920000000002</v>
      </c>
      <c r="L60" s="33"/>
      <c r="M60" s="34"/>
      <c r="N60" s="34"/>
      <c r="O60" s="34"/>
      <c r="P60" s="34"/>
      <c r="Q60" s="34"/>
      <c r="R60" s="34">
        <f t="shared" si="0"/>
        <v>13597.32</v>
      </c>
      <c r="S60" s="34">
        <f t="shared" si="1"/>
        <v>17520</v>
      </c>
      <c r="T60" s="34">
        <f t="shared" si="7"/>
        <v>17520</v>
      </c>
      <c r="U60" s="34"/>
      <c r="V60" s="34"/>
      <c r="W60" s="34"/>
      <c r="X60" s="34"/>
      <c r="Y60" s="34"/>
      <c r="Z60" s="34"/>
    </row>
    <row r="61" spans="1:26">
      <c r="A61" s="481" t="s">
        <v>43</v>
      </c>
      <c r="B61" s="453">
        <v>1</v>
      </c>
      <c r="C61" s="483">
        <v>1128</v>
      </c>
      <c r="D61" s="30">
        <v>12</v>
      </c>
      <c r="E61" s="32">
        <f t="shared" si="2"/>
        <v>13536</v>
      </c>
      <c r="F61" s="455" t="s">
        <v>1039</v>
      </c>
      <c r="G61" s="34">
        <f t="shared" si="3"/>
        <v>13536</v>
      </c>
      <c r="H61" s="34">
        <f t="shared" si="4"/>
        <v>900</v>
      </c>
      <c r="I61" s="34">
        <f t="shared" si="5"/>
        <v>3000</v>
      </c>
      <c r="J61" s="34"/>
      <c r="K61" s="34">
        <f t="shared" si="6"/>
        <v>13999.920000000002</v>
      </c>
      <c r="L61" s="33"/>
      <c r="M61" s="34"/>
      <c r="N61" s="34"/>
      <c r="O61" s="34"/>
      <c r="P61" s="34"/>
      <c r="Q61" s="34"/>
      <c r="R61" s="34">
        <f t="shared" si="0"/>
        <v>13597.32</v>
      </c>
      <c r="S61" s="34">
        <f t="shared" si="1"/>
        <v>13536</v>
      </c>
      <c r="T61" s="34">
        <f t="shared" si="7"/>
        <v>13536</v>
      </c>
      <c r="U61" s="34"/>
      <c r="V61" s="34"/>
      <c r="W61" s="34"/>
      <c r="X61" s="34"/>
      <c r="Y61" s="34"/>
      <c r="Z61" s="34"/>
    </row>
    <row r="62" spans="1:26">
      <c r="A62" s="484" t="s">
        <v>1073</v>
      </c>
      <c r="B62" s="453">
        <v>6</v>
      </c>
      <c r="C62" s="485">
        <v>1575</v>
      </c>
      <c r="D62" s="30">
        <v>12</v>
      </c>
      <c r="E62" s="32">
        <f t="shared" si="2"/>
        <v>113400</v>
      </c>
      <c r="F62" s="455" t="s">
        <v>1039</v>
      </c>
      <c r="G62" s="34">
        <f t="shared" si="3"/>
        <v>113400</v>
      </c>
      <c r="H62" s="34">
        <f t="shared" si="4"/>
        <v>5400</v>
      </c>
      <c r="I62" s="34">
        <f t="shared" si="5"/>
        <v>18000</v>
      </c>
      <c r="J62" s="34"/>
      <c r="K62" s="34">
        <f t="shared" si="6"/>
        <v>83999.520000000019</v>
      </c>
      <c r="L62" s="33"/>
      <c r="M62" s="34"/>
      <c r="N62" s="34"/>
      <c r="O62" s="34"/>
      <c r="P62" s="34"/>
      <c r="Q62" s="34"/>
      <c r="R62" s="34">
        <f t="shared" si="0"/>
        <v>81583.92</v>
      </c>
      <c r="S62" s="34">
        <f t="shared" si="1"/>
        <v>113400</v>
      </c>
      <c r="T62" s="34">
        <f t="shared" si="7"/>
        <v>113400</v>
      </c>
      <c r="U62" s="34"/>
      <c r="V62" s="34"/>
      <c r="W62" s="34"/>
      <c r="X62" s="34"/>
      <c r="Y62" s="34"/>
      <c r="Z62" s="34"/>
    </row>
    <row r="63" spans="1:26">
      <c r="A63" s="484" t="s">
        <v>1074</v>
      </c>
      <c r="B63" s="453">
        <v>2</v>
      </c>
      <c r="C63" s="486">
        <v>1302</v>
      </c>
      <c r="D63" s="30">
        <v>12</v>
      </c>
      <c r="E63" s="32">
        <f t="shared" si="2"/>
        <v>31248</v>
      </c>
      <c r="F63" s="455" t="s">
        <v>1039</v>
      </c>
      <c r="G63" s="34">
        <f t="shared" si="3"/>
        <v>31248</v>
      </c>
      <c r="H63" s="34">
        <f t="shared" si="4"/>
        <v>1800</v>
      </c>
      <c r="I63" s="34">
        <f t="shared" si="5"/>
        <v>6000</v>
      </c>
      <c r="J63" s="34"/>
      <c r="K63" s="34">
        <f t="shared" si="6"/>
        <v>27999.840000000004</v>
      </c>
      <c r="L63" s="33"/>
      <c r="M63" s="34"/>
      <c r="N63" s="34"/>
      <c r="O63" s="34"/>
      <c r="P63" s="34"/>
      <c r="Q63" s="34"/>
      <c r="R63" s="34">
        <f t="shared" si="0"/>
        <v>27194.639999999999</v>
      </c>
      <c r="S63" s="34">
        <f t="shared" si="1"/>
        <v>31248</v>
      </c>
      <c r="T63" s="34">
        <f t="shared" si="7"/>
        <v>31248</v>
      </c>
      <c r="U63" s="34"/>
      <c r="V63" s="34"/>
      <c r="W63" s="34"/>
      <c r="X63" s="34"/>
      <c r="Y63" s="34"/>
      <c r="Z63" s="34"/>
    </row>
    <row r="64" spans="1:26">
      <c r="A64" s="484" t="s">
        <v>1043</v>
      </c>
      <c r="B64" s="453">
        <v>1</v>
      </c>
      <c r="C64" s="485">
        <v>1575</v>
      </c>
      <c r="D64" s="30">
        <v>12</v>
      </c>
      <c r="E64" s="32">
        <f t="shared" si="2"/>
        <v>18900</v>
      </c>
      <c r="F64" s="455" t="s">
        <v>1039</v>
      </c>
      <c r="G64" s="34">
        <f t="shared" si="3"/>
        <v>18900</v>
      </c>
      <c r="H64" s="34">
        <f t="shared" si="4"/>
        <v>900</v>
      </c>
      <c r="I64" s="34">
        <f t="shared" si="5"/>
        <v>3000</v>
      </c>
      <c r="J64" s="34"/>
      <c r="K64" s="34">
        <f t="shared" si="6"/>
        <v>13999.920000000002</v>
      </c>
      <c r="L64" s="33"/>
      <c r="M64" s="34"/>
      <c r="N64" s="34"/>
      <c r="O64" s="34"/>
      <c r="P64" s="34"/>
      <c r="Q64" s="34"/>
      <c r="R64" s="34">
        <f t="shared" si="0"/>
        <v>13597.32</v>
      </c>
      <c r="S64" s="34">
        <f t="shared" si="1"/>
        <v>18900</v>
      </c>
      <c r="T64" s="34">
        <f t="shared" si="7"/>
        <v>18900</v>
      </c>
      <c r="U64" s="34"/>
      <c r="V64" s="34"/>
      <c r="W64" s="34"/>
      <c r="X64" s="34"/>
      <c r="Y64" s="34"/>
      <c r="Z64" s="34"/>
    </row>
    <row r="65" spans="1:26">
      <c r="A65" s="484" t="s">
        <v>43</v>
      </c>
      <c r="B65" s="453">
        <v>1</v>
      </c>
      <c r="C65" s="485">
        <v>1128</v>
      </c>
      <c r="D65" s="30">
        <v>12</v>
      </c>
      <c r="E65" s="32">
        <f t="shared" si="2"/>
        <v>13536</v>
      </c>
      <c r="F65" s="455" t="s">
        <v>1039</v>
      </c>
      <c r="G65" s="34">
        <f t="shared" si="3"/>
        <v>13536</v>
      </c>
      <c r="H65" s="34">
        <f t="shared" si="4"/>
        <v>900</v>
      </c>
      <c r="I65" s="34">
        <f t="shared" si="5"/>
        <v>3000</v>
      </c>
      <c r="J65" s="34"/>
      <c r="K65" s="34">
        <f t="shared" si="6"/>
        <v>13999.920000000002</v>
      </c>
      <c r="L65" s="33"/>
      <c r="M65" s="34"/>
      <c r="N65" s="34"/>
      <c r="O65" s="34"/>
      <c r="P65" s="34"/>
      <c r="Q65" s="34"/>
      <c r="R65" s="34">
        <f t="shared" si="0"/>
        <v>13597.32</v>
      </c>
      <c r="S65" s="34">
        <f t="shared" si="1"/>
        <v>13536</v>
      </c>
      <c r="T65" s="34">
        <f t="shared" si="7"/>
        <v>13536</v>
      </c>
      <c r="U65" s="34"/>
      <c r="V65" s="34"/>
      <c r="W65" s="34"/>
      <c r="X65" s="34"/>
      <c r="Y65" s="34"/>
      <c r="Z65" s="34"/>
    </row>
    <row r="66" spans="1:26">
      <c r="A66" s="484" t="s">
        <v>1075</v>
      </c>
      <c r="B66" s="453">
        <v>1</v>
      </c>
      <c r="C66" s="486">
        <v>1286</v>
      </c>
      <c r="D66" s="30">
        <v>12</v>
      </c>
      <c r="E66" s="32">
        <f t="shared" si="2"/>
        <v>15432</v>
      </c>
      <c r="F66" s="455" t="s">
        <v>1039</v>
      </c>
      <c r="G66" s="34">
        <f t="shared" si="3"/>
        <v>15432</v>
      </c>
      <c r="H66" s="34">
        <f t="shared" si="4"/>
        <v>900</v>
      </c>
      <c r="I66" s="34">
        <f t="shared" si="5"/>
        <v>3000</v>
      </c>
      <c r="J66" s="34"/>
      <c r="K66" s="34">
        <f t="shared" si="6"/>
        <v>13999.920000000002</v>
      </c>
      <c r="L66" s="33"/>
      <c r="M66" s="34"/>
      <c r="N66" s="34"/>
      <c r="O66" s="34"/>
      <c r="P66" s="34"/>
      <c r="Q66" s="34"/>
      <c r="R66" s="34">
        <f t="shared" si="0"/>
        <v>13597.32</v>
      </c>
      <c r="S66" s="34">
        <f t="shared" si="1"/>
        <v>15432</v>
      </c>
      <c r="T66" s="34">
        <f t="shared" si="7"/>
        <v>15432</v>
      </c>
      <c r="U66" s="34"/>
      <c r="V66" s="34"/>
      <c r="W66" s="34"/>
      <c r="X66" s="34"/>
      <c r="Y66" s="34"/>
      <c r="Z66" s="34"/>
    </row>
    <row r="67" spans="1:26">
      <c r="A67" s="487" t="s">
        <v>1075</v>
      </c>
      <c r="B67" s="453">
        <v>1</v>
      </c>
      <c r="C67" s="488">
        <v>1286</v>
      </c>
      <c r="D67" s="30">
        <v>12</v>
      </c>
      <c r="E67" s="32">
        <f t="shared" si="2"/>
        <v>15432</v>
      </c>
      <c r="F67" s="455" t="s">
        <v>1039</v>
      </c>
      <c r="G67" s="34">
        <f t="shared" si="3"/>
        <v>15432</v>
      </c>
      <c r="H67" s="34">
        <f t="shared" si="4"/>
        <v>900</v>
      </c>
      <c r="I67" s="34">
        <f t="shared" si="5"/>
        <v>3000</v>
      </c>
      <c r="J67" s="34"/>
      <c r="K67" s="34">
        <f t="shared" si="6"/>
        <v>13999.920000000002</v>
      </c>
      <c r="L67" s="33"/>
      <c r="M67" s="34"/>
      <c r="N67" s="34"/>
      <c r="O67" s="34"/>
      <c r="P67" s="34"/>
      <c r="Q67" s="34"/>
      <c r="R67" s="34">
        <f t="shared" si="0"/>
        <v>13597.32</v>
      </c>
      <c r="S67" s="34">
        <f t="shared" si="1"/>
        <v>15432</v>
      </c>
      <c r="T67" s="34">
        <f t="shared" si="7"/>
        <v>15432</v>
      </c>
      <c r="U67" s="34"/>
      <c r="V67" s="34"/>
      <c r="W67" s="34"/>
      <c r="X67" s="34"/>
      <c r="Y67" s="34"/>
      <c r="Z67" s="34"/>
    </row>
    <row r="68" spans="1:26">
      <c r="A68" s="487" t="s">
        <v>1076</v>
      </c>
      <c r="B68" s="453">
        <v>1</v>
      </c>
      <c r="C68" s="488">
        <v>3987</v>
      </c>
      <c r="D68" s="30">
        <v>12</v>
      </c>
      <c r="E68" s="32">
        <f t="shared" si="2"/>
        <v>47844</v>
      </c>
      <c r="F68" s="455" t="s">
        <v>1039</v>
      </c>
      <c r="G68" s="34">
        <f t="shared" si="3"/>
        <v>47844</v>
      </c>
      <c r="H68" s="34">
        <f t="shared" si="4"/>
        <v>900</v>
      </c>
      <c r="I68" s="34">
        <f t="shared" si="5"/>
        <v>3000</v>
      </c>
      <c r="J68" s="34"/>
      <c r="K68" s="34">
        <f t="shared" si="6"/>
        <v>13999.920000000002</v>
      </c>
      <c r="L68" s="33"/>
      <c r="M68" s="34"/>
      <c r="N68" s="34"/>
      <c r="O68" s="34"/>
      <c r="P68" s="34"/>
      <c r="Q68" s="34"/>
      <c r="R68" s="34">
        <f t="shared" si="0"/>
        <v>13597.32</v>
      </c>
      <c r="S68" s="34">
        <f t="shared" si="1"/>
        <v>47844</v>
      </c>
      <c r="T68" s="34">
        <f t="shared" si="7"/>
        <v>47844</v>
      </c>
      <c r="U68" s="34"/>
      <c r="V68" s="34"/>
      <c r="W68" s="34"/>
      <c r="X68" s="34"/>
      <c r="Y68" s="34"/>
      <c r="Z68" s="34"/>
    </row>
    <row r="69" spans="1:26">
      <c r="A69" s="487" t="s">
        <v>1077</v>
      </c>
      <c r="B69" s="453">
        <v>1</v>
      </c>
      <c r="C69" s="488">
        <v>1831</v>
      </c>
      <c r="D69" s="30">
        <v>12</v>
      </c>
      <c r="E69" s="32">
        <f t="shared" si="2"/>
        <v>21972</v>
      </c>
      <c r="F69" s="455" t="s">
        <v>1039</v>
      </c>
      <c r="G69" s="34">
        <f t="shared" si="3"/>
        <v>21972</v>
      </c>
      <c r="H69" s="34">
        <f t="shared" si="4"/>
        <v>900</v>
      </c>
      <c r="I69" s="34">
        <f t="shared" si="5"/>
        <v>3000</v>
      </c>
      <c r="J69" s="34"/>
      <c r="K69" s="34">
        <f t="shared" si="6"/>
        <v>13999.920000000002</v>
      </c>
      <c r="L69" s="33"/>
      <c r="M69" s="34"/>
      <c r="N69" s="34"/>
      <c r="O69" s="34"/>
      <c r="P69" s="34"/>
      <c r="Q69" s="34"/>
      <c r="R69" s="34">
        <f t="shared" si="0"/>
        <v>13597.32</v>
      </c>
      <c r="S69" s="34">
        <f t="shared" si="1"/>
        <v>21972</v>
      </c>
      <c r="T69" s="34">
        <f t="shared" si="7"/>
        <v>21972</v>
      </c>
      <c r="U69" s="34"/>
      <c r="V69" s="34"/>
      <c r="W69" s="34"/>
      <c r="X69" s="34"/>
      <c r="Y69" s="34"/>
      <c r="Z69" s="34"/>
    </row>
    <row r="70" spans="1:26">
      <c r="A70" s="489" t="s">
        <v>1078</v>
      </c>
      <c r="B70" s="453">
        <v>1</v>
      </c>
      <c r="C70" s="490">
        <v>1701</v>
      </c>
      <c r="D70" s="30">
        <v>12</v>
      </c>
      <c r="E70" s="32">
        <f t="shared" si="2"/>
        <v>20412</v>
      </c>
      <c r="F70" s="455" t="s">
        <v>1039</v>
      </c>
      <c r="G70" s="34">
        <f t="shared" si="3"/>
        <v>20412</v>
      </c>
      <c r="H70" s="34">
        <f t="shared" si="4"/>
        <v>900</v>
      </c>
      <c r="I70" s="34">
        <f t="shared" si="5"/>
        <v>3000</v>
      </c>
      <c r="J70" s="34"/>
      <c r="K70" s="34">
        <f t="shared" si="6"/>
        <v>13999.920000000002</v>
      </c>
      <c r="L70" s="33"/>
      <c r="M70" s="34"/>
      <c r="N70" s="34"/>
      <c r="O70" s="34"/>
      <c r="P70" s="34"/>
      <c r="Q70" s="34"/>
      <c r="R70" s="34">
        <f t="shared" si="0"/>
        <v>13597.32</v>
      </c>
      <c r="S70" s="34">
        <f t="shared" si="1"/>
        <v>20412</v>
      </c>
      <c r="T70" s="34">
        <f t="shared" si="7"/>
        <v>20412</v>
      </c>
      <c r="U70" s="34"/>
      <c r="V70" s="34"/>
      <c r="W70" s="34"/>
      <c r="X70" s="34"/>
      <c r="Y70" s="34"/>
      <c r="Z70" s="34"/>
    </row>
    <row r="71" spans="1:26">
      <c r="A71" s="489" t="s">
        <v>1079</v>
      </c>
      <c r="B71" s="453">
        <v>1</v>
      </c>
      <c r="C71" s="490">
        <v>1105</v>
      </c>
      <c r="D71" s="30">
        <v>12</v>
      </c>
      <c r="E71" s="32">
        <f t="shared" si="2"/>
        <v>13260</v>
      </c>
      <c r="F71" s="455" t="s">
        <v>1039</v>
      </c>
      <c r="G71" s="34">
        <f t="shared" si="3"/>
        <v>13260</v>
      </c>
      <c r="H71" s="34">
        <f t="shared" si="4"/>
        <v>900</v>
      </c>
      <c r="I71" s="34">
        <f t="shared" si="5"/>
        <v>3000</v>
      </c>
      <c r="J71" s="34"/>
      <c r="K71" s="34">
        <f t="shared" si="6"/>
        <v>13999.920000000002</v>
      </c>
      <c r="L71" s="33"/>
      <c r="M71" s="34"/>
      <c r="N71" s="34"/>
      <c r="O71" s="34"/>
      <c r="P71" s="34"/>
      <c r="Q71" s="34"/>
      <c r="R71" s="34">
        <f t="shared" ref="R71:R134" si="8">1133.11*12*B71</f>
        <v>13597.32</v>
      </c>
      <c r="S71" s="34">
        <f t="shared" ref="S71:S134" si="9">+E71</f>
        <v>13260</v>
      </c>
      <c r="T71" s="34">
        <f t="shared" si="7"/>
        <v>13260</v>
      </c>
      <c r="U71" s="34"/>
      <c r="V71" s="34"/>
      <c r="W71" s="34"/>
      <c r="X71" s="34"/>
      <c r="Y71" s="34"/>
      <c r="Z71" s="34"/>
    </row>
    <row r="72" spans="1:26">
      <c r="A72" s="489" t="s">
        <v>1080</v>
      </c>
      <c r="B72" s="453">
        <v>1</v>
      </c>
      <c r="C72" s="490">
        <v>1460</v>
      </c>
      <c r="D72" s="30">
        <v>12</v>
      </c>
      <c r="E72" s="32">
        <f t="shared" ref="E72:E80" si="10">+D72*C72*B72</f>
        <v>17520</v>
      </c>
      <c r="F72" s="455" t="s">
        <v>1039</v>
      </c>
      <c r="G72" s="34">
        <f t="shared" ref="G72:G135" si="11">+E72</f>
        <v>17520</v>
      </c>
      <c r="H72" s="34">
        <f t="shared" ref="H72:H135" si="12">75*B72*12</f>
        <v>900</v>
      </c>
      <c r="I72" s="34">
        <f t="shared" ref="I72:I135" si="13">250*B72*12</f>
        <v>3000</v>
      </c>
      <c r="J72" s="34"/>
      <c r="K72" s="34">
        <f t="shared" ref="K72:K135" si="14">1166.66*12*B72</f>
        <v>13999.920000000002</v>
      </c>
      <c r="L72" s="33"/>
      <c r="M72" s="34"/>
      <c r="N72" s="34"/>
      <c r="O72" s="34"/>
      <c r="P72" s="34"/>
      <c r="Q72" s="34"/>
      <c r="R72" s="34">
        <f t="shared" si="8"/>
        <v>13597.32</v>
      </c>
      <c r="S72" s="34">
        <f t="shared" si="9"/>
        <v>17520</v>
      </c>
      <c r="T72" s="34">
        <f t="shared" ref="T72:T135" si="15">+S72</f>
        <v>17520</v>
      </c>
      <c r="U72" s="34"/>
      <c r="V72" s="34"/>
      <c r="W72" s="34"/>
      <c r="X72" s="34"/>
      <c r="Y72" s="34"/>
      <c r="Z72" s="34"/>
    </row>
    <row r="73" spans="1:26">
      <c r="A73" s="491" t="s">
        <v>1081</v>
      </c>
      <c r="B73" s="453">
        <v>1</v>
      </c>
      <c r="C73" s="492">
        <v>1991</v>
      </c>
      <c r="D73" s="30">
        <v>12</v>
      </c>
      <c r="E73" s="32">
        <f t="shared" si="10"/>
        <v>23892</v>
      </c>
      <c r="F73" s="455" t="s">
        <v>1039</v>
      </c>
      <c r="G73" s="34">
        <f t="shared" si="11"/>
        <v>23892</v>
      </c>
      <c r="H73" s="34">
        <f t="shared" si="12"/>
        <v>900</v>
      </c>
      <c r="I73" s="34">
        <f t="shared" si="13"/>
        <v>3000</v>
      </c>
      <c r="J73" s="34"/>
      <c r="K73" s="34">
        <f t="shared" si="14"/>
        <v>13999.920000000002</v>
      </c>
      <c r="L73" s="33"/>
      <c r="M73" s="34"/>
      <c r="N73" s="34"/>
      <c r="O73" s="34"/>
      <c r="P73" s="34"/>
      <c r="Q73" s="34"/>
      <c r="R73" s="34">
        <f t="shared" si="8"/>
        <v>13597.32</v>
      </c>
      <c r="S73" s="34">
        <f t="shared" si="9"/>
        <v>23892</v>
      </c>
      <c r="T73" s="34">
        <f t="shared" si="15"/>
        <v>23892</v>
      </c>
      <c r="U73" s="34"/>
      <c r="V73" s="34"/>
      <c r="W73" s="34"/>
      <c r="X73" s="34"/>
      <c r="Y73" s="34"/>
      <c r="Z73" s="34"/>
    </row>
    <row r="74" spans="1:26">
      <c r="A74" s="491" t="s">
        <v>1082</v>
      </c>
      <c r="B74" s="453">
        <v>1</v>
      </c>
      <c r="C74" s="492">
        <v>1555</v>
      </c>
      <c r="D74" s="30">
        <v>12</v>
      </c>
      <c r="E74" s="32">
        <f t="shared" si="10"/>
        <v>18660</v>
      </c>
      <c r="F74" s="455" t="s">
        <v>1039</v>
      </c>
      <c r="G74" s="34">
        <f t="shared" si="11"/>
        <v>18660</v>
      </c>
      <c r="H74" s="34">
        <f t="shared" si="12"/>
        <v>900</v>
      </c>
      <c r="I74" s="34">
        <f t="shared" si="13"/>
        <v>3000</v>
      </c>
      <c r="J74" s="34"/>
      <c r="K74" s="34">
        <f t="shared" si="14"/>
        <v>13999.920000000002</v>
      </c>
      <c r="L74" s="33"/>
      <c r="M74" s="34"/>
      <c r="N74" s="34"/>
      <c r="O74" s="34"/>
      <c r="P74" s="34"/>
      <c r="Q74" s="34"/>
      <c r="R74" s="34">
        <f t="shared" si="8"/>
        <v>13597.32</v>
      </c>
      <c r="S74" s="34">
        <f t="shared" si="9"/>
        <v>18660</v>
      </c>
      <c r="T74" s="34">
        <f t="shared" si="15"/>
        <v>18660</v>
      </c>
      <c r="U74" s="34"/>
      <c r="V74" s="34"/>
      <c r="W74" s="34"/>
      <c r="X74" s="34"/>
      <c r="Y74" s="34"/>
      <c r="Z74" s="34"/>
    </row>
    <row r="75" spans="1:26">
      <c r="A75" s="493" t="s">
        <v>1083</v>
      </c>
      <c r="B75" s="453">
        <v>2</v>
      </c>
      <c r="C75" s="494">
        <v>1649</v>
      </c>
      <c r="D75" s="30">
        <v>12</v>
      </c>
      <c r="E75" s="32">
        <f t="shared" si="10"/>
        <v>39576</v>
      </c>
      <c r="F75" s="455" t="s">
        <v>1039</v>
      </c>
      <c r="G75" s="34">
        <f t="shared" si="11"/>
        <v>39576</v>
      </c>
      <c r="H75" s="34">
        <f t="shared" si="12"/>
        <v>1800</v>
      </c>
      <c r="I75" s="34">
        <f t="shared" si="13"/>
        <v>6000</v>
      </c>
      <c r="J75" s="34"/>
      <c r="K75" s="34">
        <f t="shared" si="14"/>
        <v>27999.840000000004</v>
      </c>
      <c r="L75" s="33"/>
      <c r="M75" s="34"/>
      <c r="N75" s="34"/>
      <c r="O75" s="34"/>
      <c r="P75" s="34"/>
      <c r="Q75" s="34"/>
      <c r="R75" s="34">
        <f t="shared" si="8"/>
        <v>27194.639999999999</v>
      </c>
      <c r="S75" s="34">
        <f t="shared" si="9"/>
        <v>39576</v>
      </c>
      <c r="T75" s="34">
        <f t="shared" si="15"/>
        <v>39576</v>
      </c>
      <c r="U75" s="34"/>
      <c r="V75" s="34"/>
      <c r="W75" s="34"/>
      <c r="X75" s="34"/>
      <c r="Y75" s="34"/>
      <c r="Z75" s="34"/>
    </row>
    <row r="76" spans="1:26">
      <c r="A76" s="493" t="s">
        <v>1053</v>
      </c>
      <c r="B76" s="453">
        <v>1</v>
      </c>
      <c r="C76" s="495">
        <v>1381</v>
      </c>
      <c r="D76" s="30">
        <v>12</v>
      </c>
      <c r="E76" s="32">
        <f t="shared" si="10"/>
        <v>16572</v>
      </c>
      <c r="F76" s="455" t="s">
        <v>1039</v>
      </c>
      <c r="G76" s="34">
        <f t="shared" si="11"/>
        <v>16572</v>
      </c>
      <c r="H76" s="34">
        <f t="shared" si="12"/>
        <v>900</v>
      </c>
      <c r="I76" s="34">
        <f t="shared" si="13"/>
        <v>3000</v>
      </c>
      <c r="J76" s="34"/>
      <c r="K76" s="34">
        <f t="shared" si="14"/>
        <v>13999.920000000002</v>
      </c>
      <c r="L76" s="33"/>
      <c r="M76" s="34"/>
      <c r="N76" s="34"/>
      <c r="O76" s="34"/>
      <c r="P76" s="34"/>
      <c r="Q76" s="34"/>
      <c r="R76" s="34">
        <f t="shared" si="8"/>
        <v>13597.32</v>
      </c>
      <c r="S76" s="34">
        <f t="shared" si="9"/>
        <v>16572</v>
      </c>
      <c r="T76" s="34">
        <f t="shared" si="15"/>
        <v>16572</v>
      </c>
      <c r="U76" s="34"/>
      <c r="V76" s="34"/>
      <c r="W76" s="34"/>
      <c r="X76" s="34"/>
      <c r="Y76" s="34"/>
      <c r="Z76" s="34"/>
    </row>
    <row r="77" spans="1:26">
      <c r="A77" s="493" t="s">
        <v>1084</v>
      </c>
      <c r="B77" s="453">
        <v>1</v>
      </c>
      <c r="C77" s="495">
        <v>1381</v>
      </c>
      <c r="D77" s="30">
        <v>12</v>
      </c>
      <c r="E77" s="32">
        <f t="shared" si="10"/>
        <v>16572</v>
      </c>
      <c r="F77" s="455" t="s">
        <v>1039</v>
      </c>
      <c r="G77" s="34">
        <f t="shared" si="11"/>
        <v>16572</v>
      </c>
      <c r="H77" s="34">
        <f t="shared" si="12"/>
        <v>900</v>
      </c>
      <c r="I77" s="34">
        <f t="shared" si="13"/>
        <v>3000</v>
      </c>
      <c r="J77" s="34"/>
      <c r="K77" s="34">
        <f t="shared" si="14"/>
        <v>13999.920000000002</v>
      </c>
      <c r="L77" s="33"/>
      <c r="M77" s="34"/>
      <c r="N77" s="34"/>
      <c r="O77" s="34"/>
      <c r="P77" s="34"/>
      <c r="Q77" s="34"/>
      <c r="R77" s="34">
        <f t="shared" si="8"/>
        <v>13597.32</v>
      </c>
      <c r="S77" s="34">
        <f t="shared" si="9"/>
        <v>16572</v>
      </c>
      <c r="T77" s="34">
        <f t="shared" si="15"/>
        <v>16572</v>
      </c>
      <c r="U77" s="34"/>
      <c r="V77" s="34"/>
      <c r="W77" s="34"/>
      <c r="X77" s="34"/>
      <c r="Y77" s="34"/>
      <c r="Z77" s="34"/>
    </row>
    <row r="78" spans="1:26">
      <c r="A78" s="493" t="s">
        <v>1057</v>
      </c>
      <c r="B78" s="453">
        <v>1</v>
      </c>
      <c r="C78" s="495">
        <v>1253</v>
      </c>
      <c r="D78" s="30">
        <v>12</v>
      </c>
      <c r="E78" s="32">
        <f t="shared" si="10"/>
        <v>15036</v>
      </c>
      <c r="F78" s="455" t="s">
        <v>1039</v>
      </c>
      <c r="G78" s="34">
        <f t="shared" si="11"/>
        <v>15036</v>
      </c>
      <c r="H78" s="34">
        <f t="shared" si="12"/>
        <v>900</v>
      </c>
      <c r="I78" s="34">
        <f t="shared" si="13"/>
        <v>3000</v>
      </c>
      <c r="J78" s="34"/>
      <c r="K78" s="34">
        <f t="shared" si="14"/>
        <v>13999.920000000002</v>
      </c>
      <c r="L78" s="33"/>
      <c r="M78" s="34"/>
      <c r="N78" s="34"/>
      <c r="O78" s="34"/>
      <c r="P78" s="34"/>
      <c r="Q78" s="34"/>
      <c r="R78" s="34">
        <f t="shared" si="8"/>
        <v>13597.32</v>
      </c>
      <c r="S78" s="34">
        <f t="shared" si="9"/>
        <v>15036</v>
      </c>
      <c r="T78" s="34">
        <f t="shared" si="15"/>
        <v>15036</v>
      </c>
      <c r="U78" s="34"/>
      <c r="V78" s="34"/>
      <c r="W78" s="34"/>
      <c r="X78" s="34"/>
      <c r="Y78" s="34"/>
      <c r="Z78" s="34"/>
    </row>
    <row r="79" spans="1:26">
      <c r="A79" s="496" t="s">
        <v>1085</v>
      </c>
      <c r="B79" s="453">
        <v>1</v>
      </c>
      <c r="C79" s="497">
        <v>1831</v>
      </c>
      <c r="D79" s="30">
        <v>12</v>
      </c>
      <c r="E79" s="32">
        <f t="shared" si="10"/>
        <v>21972</v>
      </c>
      <c r="F79" s="455" t="s">
        <v>1039</v>
      </c>
      <c r="G79" s="34">
        <f t="shared" si="11"/>
        <v>21972</v>
      </c>
      <c r="H79" s="34">
        <f t="shared" si="12"/>
        <v>900</v>
      </c>
      <c r="I79" s="34">
        <f t="shared" si="13"/>
        <v>3000</v>
      </c>
      <c r="J79" s="34"/>
      <c r="K79" s="34">
        <f t="shared" si="14"/>
        <v>13999.920000000002</v>
      </c>
      <c r="L79" s="33"/>
      <c r="M79" s="34"/>
      <c r="N79" s="34"/>
      <c r="O79" s="34"/>
      <c r="P79" s="34"/>
      <c r="Q79" s="34"/>
      <c r="R79" s="34">
        <f t="shared" si="8"/>
        <v>13597.32</v>
      </c>
      <c r="S79" s="34">
        <f t="shared" si="9"/>
        <v>21972</v>
      </c>
      <c r="T79" s="34">
        <f t="shared" si="15"/>
        <v>21972</v>
      </c>
      <c r="U79" s="34"/>
      <c r="V79" s="34"/>
      <c r="W79" s="34"/>
      <c r="X79" s="34"/>
      <c r="Y79" s="34"/>
      <c r="Z79" s="34"/>
    </row>
    <row r="80" spans="1:26">
      <c r="A80" s="496" t="s">
        <v>1084</v>
      </c>
      <c r="B80" s="453">
        <v>1</v>
      </c>
      <c r="C80" s="497">
        <v>1381</v>
      </c>
      <c r="D80" s="30">
        <v>12</v>
      </c>
      <c r="E80" s="32">
        <f t="shared" si="10"/>
        <v>16572</v>
      </c>
      <c r="F80" s="455" t="s">
        <v>1039</v>
      </c>
      <c r="G80" s="34">
        <f t="shared" si="11"/>
        <v>16572</v>
      </c>
      <c r="H80" s="34">
        <f t="shared" si="12"/>
        <v>900</v>
      </c>
      <c r="I80" s="34">
        <f t="shared" si="13"/>
        <v>3000</v>
      </c>
      <c r="J80" s="34"/>
      <c r="K80" s="34">
        <f t="shared" si="14"/>
        <v>13999.920000000002</v>
      </c>
      <c r="L80" s="33"/>
      <c r="M80" s="34"/>
      <c r="N80" s="34"/>
      <c r="O80" s="34"/>
      <c r="P80" s="34"/>
      <c r="Q80" s="34"/>
      <c r="R80" s="34">
        <f t="shared" si="8"/>
        <v>13597.32</v>
      </c>
      <c r="S80" s="34">
        <f t="shared" si="9"/>
        <v>16572</v>
      </c>
      <c r="T80" s="34">
        <f t="shared" si="15"/>
        <v>16572</v>
      </c>
      <c r="U80" s="34"/>
      <c r="V80" s="34"/>
      <c r="W80" s="34"/>
      <c r="X80" s="34"/>
      <c r="Y80" s="34"/>
      <c r="Z80" s="34"/>
    </row>
    <row r="81" spans="1:26">
      <c r="A81" s="498" t="s">
        <v>1085</v>
      </c>
      <c r="B81" s="453">
        <v>1</v>
      </c>
      <c r="C81" s="497">
        <v>1831</v>
      </c>
      <c r="D81" s="30">
        <v>12</v>
      </c>
      <c r="E81" s="32">
        <v>53469.240000000005</v>
      </c>
      <c r="F81" s="455" t="s">
        <v>1039</v>
      </c>
      <c r="G81" s="34">
        <f t="shared" si="11"/>
        <v>53469.240000000005</v>
      </c>
      <c r="H81" s="34">
        <f t="shared" si="12"/>
        <v>900</v>
      </c>
      <c r="I81" s="34">
        <f t="shared" si="13"/>
        <v>3000</v>
      </c>
      <c r="J81" s="34"/>
      <c r="K81" s="34">
        <f t="shared" si="14"/>
        <v>13999.920000000002</v>
      </c>
      <c r="L81" s="33"/>
      <c r="M81" s="34"/>
      <c r="N81" s="34"/>
      <c r="O81" s="34"/>
      <c r="P81" s="34"/>
      <c r="Q81" s="34"/>
      <c r="R81" s="34">
        <f t="shared" si="8"/>
        <v>13597.32</v>
      </c>
      <c r="S81" s="34">
        <f t="shared" si="9"/>
        <v>53469.240000000005</v>
      </c>
      <c r="T81" s="34">
        <f t="shared" si="15"/>
        <v>53469.240000000005</v>
      </c>
      <c r="U81" s="34"/>
      <c r="V81" s="34"/>
      <c r="W81" s="34"/>
      <c r="X81" s="34"/>
      <c r="Y81" s="34"/>
      <c r="Z81" s="34"/>
    </row>
    <row r="82" spans="1:26">
      <c r="A82" s="498" t="s">
        <v>1083</v>
      </c>
      <c r="B82" s="453">
        <v>1</v>
      </c>
      <c r="C82" s="497">
        <v>1555</v>
      </c>
      <c r="D82" s="30">
        <v>12</v>
      </c>
      <c r="E82" s="32">
        <v>50157.240000000005</v>
      </c>
      <c r="F82" s="455" t="s">
        <v>1039</v>
      </c>
      <c r="G82" s="34">
        <f t="shared" si="11"/>
        <v>50157.240000000005</v>
      </c>
      <c r="H82" s="34">
        <f t="shared" si="12"/>
        <v>900</v>
      </c>
      <c r="I82" s="34">
        <f t="shared" si="13"/>
        <v>3000</v>
      </c>
      <c r="J82" s="34"/>
      <c r="K82" s="34">
        <f t="shared" si="14"/>
        <v>13999.920000000002</v>
      </c>
      <c r="L82" s="33"/>
      <c r="M82" s="34"/>
      <c r="N82" s="34"/>
      <c r="O82" s="34"/>
      <c r="P82" s="34"/>
      <c r="Q82" s="34"/>
      <c r="R82" s="34">
        <f t="shared" si="8"/>
        <v>13597.32</v>
      </c>
      <c r="S82" s="34">
        <f t="shared" si="9"/>
        <v>50157.240000000005</v>
      </c>
      <c r="T82" s="34">
        <f t="shared" si="15"/>
        <v>50157.240000000005</v>
      </c>
      <c r="U82" s="34"/>
      <c r="V82" s="34"/>
      <c r="W82" s="34"/>
      <c r="X82" s="34"/>
      <c r="Y82" s="34"/>
      <c r="Z82" s="34"/>
    </row>
    <row r="83" spans="1:26">
      <c r="A83" s="498" t="s">
        <v>1065</v>
      </c>
      <c r="B83" s="453">
        <v>1</v>
      </c>
      <c r="C83" s="497">
        <v>1460</v>
      </c>
      <c r="D83" s="30">
        <v>12</v>
      </c>
      <c r="E83" s="32">
        <v>48117.24</v>
      </c>
      <c r="F83" s="455" t="s">
        <v>1039</v>
      </c>
      <c r="G83" s="34">
        <f t="shared" si="11"/>
        <v>48117.24</v>
      </c>
      <c r="H83" s="34">
        <f t="shared" si="12"/>
        <v>900</v>
      </c>
      <c r="I83" s="34">
        <f t="shared" si="13"/>
        <v>3000</v>
      </c>
      <c r="J83" s="34"/>
      <c r="K83" s="34">
        <f t="shared" si="14"/>
        <v>13999.920000000002</v>
      </c>
      <c r="L83" s="33"/>
      <c r="M83" s="34"/>
      <c r="N83" s="34"/>
      <c r="O83" s="34"/>
      <c r="P83" s="34"/>
      <c r="Q83" s="34"/>
      <c r="R83" s="34">
        <f t="shared" si="8"/>
        <v>13597.32</v>
      </c>
      <c r="S83" s="34">
        <f t="shared" si="9"/>
        <v>48117.24</v>
      </c>
      <c r="T83" s="34">
        <f t="shared" si="15"/>
        <v>48117.24</v>
      </c>
      <c r="U83" s="34"/>
      <c r="V83" s="34"/>
      <c r="W83" s="34"/>
      <c r="X83" s="34"/>
      <c r="Y83" s="34"/>
      <c r="Z83" s="34"/>
    </row>
    <row r="84" spans="1:26">
      <c r="A84" s="499" t="s">
        <v>190</v>
      </c>
      <c r="B84" s="453">
        <v>1</v>
      </c>
      <c r="C84" s="497">
        <v>1039</v>
      </c>
      <c r="D84" s="30">
        <v>12</v>
      </c>
      <c r="E84" s="32">
        <v>43965.24</v>
      </c>
      <c r="F84" s="455" t="s">
        <v>1039</v>
      </c>
      <c r="G84" s="34">
        <f t="shared" si="11"/>
        <v>43965.24</v>
      </c>
      <c r="H84" s="34">
        <f t="shared" si="12"/>
        <v>900</v>
      </c>
      <c r="I84" s="34">
        <f t="shared" si="13"/>
        <v>3000</v>
      </c>
      <c r="J84" s="34"/>
      <c r="K84" s="34">
        <f t="shared" si="14"/>
        <v>13999.920000000002</v>
      </c>
      <c r="L84" s="33"/>
      <c r="M84" s="34"/>
      <c r="N84" s="34"/>
      <c r="O84" s="34"/>
      <c r="P84" s="34"/>
      <c r="Q84" s="34"/>
      <c r="R84" s="34">
        <f t="shared" si="8"/>
        <v>13597.32</v>
      </c>
      <c r="S84" s="34">
        <f t="shared" si="9"/>
        <v>43965.24</v>
      </c>
      <c r="T84" s="34">
        <f t="shared" si="15"/>
        <v>43965.24</v>
      </c>
      <c r="U84" s="34"/>
      <c r="V84" s="34"/>
      <c r="W84" s="34"/>
      <c r="X84" s="34"/>
      <c r="Y84" s="34"/>
      <c r="Z84" s="34"/>
    </row>
    <row r="85" spans="1:26">
      <c r="A85" s="499" t="s">
        <v>1086</v>
      </c>
      <c r="B85" s="453">
        <v>1</v>
      </c>
      <c r="C85" s="497">
        <v>1555</v>
      </c>
      <c r="D85" s="30">
        <v>12</v>
      </c>
      <c r="E85" s="32">
        <v>49857.240000000005</v>
      </c>
      <c r="F85" s="455" t="s">
        <v>1039</v>
      </c>
      <c r="G85" s="34">
        <f t="shared" si="11"/>
        <v>49857.240000000005</v>
      </c>
      <c r="H85" s="34">
        <f t="shared" si="12"/>
        <v>900</v>
      </c>
      <c r="I85" s="34">
        <f t="shared" si="13"/>
        <v>3000</v>
      </c>
      <c r="J85" s="34"/>
      <c r="K85" s="34">
        <f t="shared" si="14"/>
        <v>13999.920000000002</v>
      </c>
      <c r="L85" s="33"/>
      <c r="M85" s="34"/>
      <c r="N85" s="34"/>
      <c r="O85" s="34"/>
      <c r="P85" s="34"/>
      <c r="Q85" s="34"/>
      <c r="R85" s="34">
        <f t="shared" si="8"/>
        <v>13597.32</v>
      </c>
      <c r="S85" s="34">
        <f t="shared" si="9"/>
        <v>49857.240000000005</v>
      </c>
      <c r="T85" s="34">
        <f t="shared" si="15"/>
        <v>49857.240000000005</v>
      </c>
      <c r="U85" s="34"/>
      <c r="V85" s="34"/>
      <c r="W85" s="34"/>
      <c r="X85" s="34"/>
      <c r="Y85" s="34"/>
      <c r="Z85" s="34"/>
    </row>
    <row r="86" spans="1:26">
      <c r="A86" s="499" t="s">
        <v>1087</v>
      </c>
      <c r="B86" s="453">
        <v>1</v>
      </c>
      <c r="C86" s="497">
        <v>1192</v>
      </c>
      <c r="D86" s="30">
        <v>12</v>
      </c>
      <c r="E86" s="32">
        <v>45321.24</v>
      </c>
      <c r="F86" s="455" t="s">
        <v>1039</v>
      </c>
      <c r="G86" s="34">
        <f t="shared" si="11"/>
        <v>45321.24</v>
      </c>
      <c r="H86" s="34">
        <f t="shared" si="12"/>
        <v>900</v>
      </c>
      <c r="I86" s="34">
        <f t="shared" si="13"/>
        <v>3000</v>
      </c>
      <c r="J86" s="34"/>
      <c r="K86" s="34">
        <f t="shared" si="14"/>
        <v>13999.920000000002</v>
      </c>
      <c r="L86" s="33"/>
      <c r="M86" s="34"/>
      <c r="N86" s="34"/>
      <c r="O86" s="34"/>
      <c r="P86" s="34"/>
      <c r="Q86" s="34"/>
      <c r="R86" s="34">
        <f t="shared" si="8"/>
        <v>13597.32</v>
      </c>
      <c r="S86" s="34">
        <f t="shared" si="9"/>
        <v>45321.24</v>
      </c>
      <c r="T86" s="34">
        <f t="shared" si="15"/>
        <v>45321.24</v>
      </c>
      <c r="U86" s="34"/>
      <c r="V86" s="34"/>
      <c r="W86" s="34"/>
      <c r="X86" s="34"/>
      <c r="Y86" s="34"/>
      <c r="Z86" s="34"/>
    </row>
    <row r="87" spans="1:26">
      <c r="A87" s="499" t="s">
        <v>1088</v>
      </c>
      <c r="B87" s="453">
        <v>2</v>
      </c>
      <c r="C87" s="497">
        <v>1074</v>
      </c>
      <c r="D87" s="30">
        <v>12</v>
      </c>
      <c r="E87" s="32">
        <v>88770.48</v>
      </c>
      <c r="F87" s="455" t="s">
        <v>1039</v>
      </c>
      <c r="G87" s="34">
        <f t="shared" si="11"/>
        <v>88770.48</v>
      </c>
      <c r="H87" s="34">
        <f t="shared" si="12"/>
        <v>1800</v>
      </c>
      <c r="I87" s="34">
        <f t="shared" si="13"/>
        <v>6000</v>
      </c>
      <c r="J87" s="34"/>
      <c r="K87" s="34">
        <f t="shared" si="14"/>
        <v>27999.840000000004</v>
      </c>
      <c r="L87" s="33"/>
      <c r="M87" s="34"/>
      <c r="N87" s="34"/>
      <c r="O87" s="34"/>
      <c r="P87" s="34"/>
      <c r="Q87" s="34"/>
      <c r="R87" s="34">
        <f t="shared" si="8"/>
        <v>27194.639999999999</v>
      </c>
      <c r="S87" s="34">
        <f t="shared" si="9"/>
        <v>88770.48</v>
      </c>
      <c r="T87" s="34">
        <f t="shared" si="15"/>
        <v>88770.48</v>
      </c>
      <c r="U87" s="34"/>
      <c r="V87" s="34"/>
      <c r="W87" s="34"/>
      <c r="X87" s="34"/>
      <c r="Y87" s="34"/>
      <c r="Z87" s="34"/>
    </row>
    <row r="88" spans="1:26">
      <c r="A88" s="499" t="s">
        <v>1089</v>
      </c>
      <c r="B88" s="453">
        <v>1</v>
      </c>
      <c r="C88" s="497">
        <v>1135</v>
      </c>
      <c r="D88" s="30">
        <v>12</v>
      </c>
      <c r="E88" s="32">
        <v>45117.24</v>
      </c>
      <c r="F88" s="455" t="s">
        <v>1039</v>
      </c>
      <c r="G88" s="34">
        <f t="shared" si="11"/>
        <v>45117.24</v>
      </c>
      <c r="H88" s="34">
        <f t="shared" si="12"/>
        <v>900</v>
      </c>
      <c r="I88" s="34">
        <f t="shared" si="13"/>
        <v>3000</v>
      </c>
      <c r="J88" s="34"/>
      <c r="K88" s="34">
        <f t="shared" si="14"/>
        <v>13999.920000000002</v>
      </c>
      <c r="L88" s="33"/>
      <c r="M88" s="34"/>
      <c r="N88" s="34"/>
      <c r="O88" s="34"/>
      <c r="P88" s="34"/>
      <c r="Q88" s="34"/>
      <c r="R88" s="34">
        <f t="shared" si="8"/>
        <v>13597.32</v>
      </c>
      <c r="S88" s="34">
        <f t="shared" si="9"/>
        <v>45117.24</v>
      </c>
      <c r="T88" s="34">
        <f t="shared" si="15"/>
        <v>45117.24</v>
      </c>
      <c r="U88" s="34"/>
      <c r="V88" s="34"/>
      <c r="W88" s="34"/>
      <c r="X88" s="34"/>
      <c r="Y88" s="34"/>
      <c r="Z88" s="34"/>
    </row>
    <row r="89" spans="1:26" ht="33" customHeight="1">
      <c r="A89" s="500" t="s">
        <v>1090</v>
      </c>
      <c r="B89" s="453">
        <v>1</v>
      </c>
      <c r="C89" s="497">
        <v>1074</v>
      </c>
      <c r="D89" s="30">
        <v>12</v>
      </c>
      <c r="E89" s="32">
        <v>44385.24</v>
      </c>
      <c r="F89" s="455" t="s">
        <v>1039</v>
      </c>
      <c r="G89" s="34">
        <f t="shared" si="11"/>
        <v>44385.24</v>
      </c>
      <c r="H89" s="34">
        <f t="shared" si="12"/>
        <v>900</v>
      </c>
      <c r="I89" s="34">
        <f t="shared" si="13"/>
        <v>3000</v>
      </c>
      <c r="J89" s="34"/>
      <c r="K89" s="34">
        <f t="shared" si="14"/>
        <v>13999.920000000002</v>
      </c>
      <c r="L89" s="33"/>
      <c r="M89" s="34"/>
      <c r="N89" s="34"/>
      <c r="O89" s="34"/>
      <c r="P89" s="34"/>
      <c r="Q89" s="34"/>
      <c r="R89" s="34">
        <f t="shared" si="8"/>
        <v>13597.32</v>
      </c>
      <c r="S89" s="34">
        <f t="shared" si="9"/>
        <v>44385.24</v>
      </c>
      <c r="T89" s="34">
        <f t="shared" si="15"/>
        <v>44385.24</v>
      </c>
      <c r="U89" s="34"/>
      <c r="V89" s="34"/>
      <c r="W89" s="34"/>
      <c r="X89" s="34"/>
      <c r="Y89" s="34"/>
      <c r="Z89" s="34"/>
    </row>
    <row r="90" spans="1:26">
      <c r="A90" s="499" t="s">
        <v>43</v>
      </c>
      <c r="B90" s="453">
        <v>1</v>
      </c>
      <c r="C90" s="497">
        <v>1128</v>
      </c>
      <c r="D90" s="30">
        <v>12</v>
      </c>
      <c r="E90" s="32">
        <v>45033.24</v>
      </c>
      <c r="F90" s="455" t="s">
        <v>1039</v>
      </c>
      <c r="G90" s="34">
        <f t="shared" si="11"/>
        <v>45033.24</v>
      </c>
      <c r="H90" s="34">
        <f t="shared" si="12"/>
        <v>900</v>
      </c>
      <c r="I90" s="34">
        <f t="shared" si="13"/>
        <v>3000</v>
      </c>
      <c r="J90" s="34"/>
      <c r="K90" s="34">
        <f t="shared" si="14"/>
        <v>13999.920000000002</v>
      </c>
      <c r="L90" s="33"/>
      <c r="M90" s="34"/>
      <c r="N90" s="34"/>
      <c r="O90" s="34"/>
      <c r="P90" s="34"/>
      <c r="Q90" s="34"/>
      <c r="R90" s="34">
        <f t="shared" si="8"/>
        <v>13597.32</v>
      </c>
      <c r="S90" s="34">
        <f t="shared" si="9"/>
        <v>45033.24</v>
      </c>
      <c r="T90" s="34">
        <f t="shared" si="15"/>
        <v>45033.24</v>
      </c>
      <c r="U90" s="34"/>
      <c r="V90" s="34"/>
      <c r="W90" s="34"/>
      <c r="X90" s="34"/>
      <c r="Y90" s="34"/>
      <c r="Z90" s="34"/>
    </row>
    <row r="91" spans="1:26">
      <c r="A91" s="501" t="s">
        <v>190</v>
      </c>
      <c r="B91" s="453">
        <v>1</v>
      </c>
      <c r="C91" s="497">
        <v>1039</v>
      </c>
      <c r="D91" s="30">
        <v>12</v>
      </c>
      <c r="E91" s="32">
        <v>43965.24</v>
      </c>
      <c r="F91" s="455" t="s">
        <v>1039</v>
      </c>
      <c r="G91" s="34">
        <f t="shared" si="11"/>
        <v>43965.24</v>
      </c>
      <c r="H91" s="34">
        <f t="shared" si="12"/>
        <v>900</v>
      </c>
      <c r="I91" s="34">
        <f t="shared" si="13"/>
        <v>3000</v>
      </c>
      <c r="J91" s="34"/>
      <c r="K91" s="34">
        <f t="shared" si="14"/>
        <v>13999.920000000002</v>
      </c>
      <c r="L91" s="33"/>
      <c r="M91" s="34"/>
      <c r="N91" s="34"/>
      <c r="O91" s="34"/>
      <c r="P91" s="34"/>
      <c r="Q91" s="34"/>
      <c r="R91" s="34">
        <f t="shared" si="8"/>
        <v>13597.32</v>
      </c>
      <c r="S91" s="34">
        <f t="shared" si="9"/>
        <v>43965.24</v>
      </c>
      <c r="T91" s="34">
        <f t="shared" si="15"/>
        <v>43965.24</v>
      </c>
      <c r="U91" s="34"/>
      <c r="V91" s="34"/>
      <c r="W91" s="34"/>
      <c r="X91" s="34"/>
      <c r="Y91" s="34"/>
      <c r="Z91" s="34"/>
    </row>
    <row r="92" spans="1:26">
      <c r="A92" s="501" t="s">
        <v>1091</v>
      </c>
      <c r="B92" s="453">
        <v>1</v>
      </c>
      <c r="C92" s="497">
        <v>1074</v>
      </c>
      <c r="D92" s="30">
        <v>12</v>
      </c>
      <c r="E92" s="32">
        <v>43905.24</v>
      </c>
      <c r="F92" s="455" t="s">
        <v>1039</v>
      </c>
      <c r="G92" s="34">
        <f t="shared" si="11"/>
        <v>43905.24</v>
      </c>
      <c r="H92" s="34">
        <f t="shared" si="12"/>
        <v>900</v>
      </c>
      <c r="I92" s="34">
        <f t="shared" si="13"/>
        <v>3000</v>
      </c>
      <c r="J92" s="34"/>
      <c r="K92" s="34">
        <f t="shared" si="14"/>
        <v>13999.920000000002</v>
      </c>
      <c r="L92" s="33"/>
      <c r="M92" s="34"/>
      <c r="N92" s="34"/>
      <c r="O92" s="34"/>
      <c r="P92" s="34"/>
      <c r="Q92" s="34"/>
      <c r="R92" s="34">
        <f t="shared" si="8"/>
        <v>13597.32</v>
      </c>
      <c r="S92" s="34">
        <f t="shared" si="9"/>
        <v>43905.24</v>
      </c>
      <c r="T92" s="34">
        <f t="shared" si="15"/>
        <v>43905.24</v>
      </c>
      <c r="U92" s="34"/>
      <c r="V92" s="34"/>
      <c r="W92" s="34"/>
      <c r="X92" s="34"/>
      <c r="Y92" s="34"/>
      <c r="Z92" s="34"/>
    </row>
    <row r="93" spans="1:26">
      <c r="A93" s="501" t="s">
        <v>43</v>
      </c>
      <c r="B93" s="453">
        <v>1</v>
      </c>
      <c r="C93" s="497">
        <v>1128</v>
      </c>
      <c r="D93" s="30">
        <v>12</v>
      </c>
      <c r="E93" s="32">
        <v>45033.24</v>
      </c>
      <c r="F93" s="455" t="s">
        <v>1039</v>
      </c>
      <c r="G93" s="34">
        <f t="shared" si="11"/>
        <v>45033.24</v>
      </c>
      <c r="H93" s="34">
        <f t="shared" si="12"/>
        <v>900</v>
      </c>
      <c r="I93" s="34">
        <f t="shared" si="13"/>
        <v>3000</v>
      </c>
      <c r="J93" s="34"/>
      <c r="K93" s="34">
        <f t="shared" si="14"/>
        <v>13999.920000000002</v>
      </c>
      <c r="L93" s="33"/>
      <c r="M93" s="34"/>
      <c r="N93" s="34"/>
      <c r="O93" s="34"/>
      <c r="P93" s="34"/>
      <c r="Q93" s="34"/>
      <c r="R93" s="34">
        <f t="shared" si="8"/>
        <v>13597.32</v>
      </c>
      <c r="S93" s="34">
        <f t="shared" si="9"/>
        <v>45033.24</v>
      </c>
      <c r="T93" s="34">
        <f t="shared" si="15"/>
        <v>45033.24</v>
      </c>
      <c r="U93" s="34"/>
      <c r="V93" s="34"/>
      <c r="W93" s="34"/>
      <c r="X93" s="34"/>
      <c r="Y93" s="34"/>
      <c r="Z93" s="34"/>
    </row>
    <row r="94" spans="1:26">
      <c r="A94" s="501" t="s">
        <v>1041</v>
      </c>
      <c r="B94" s="453">
        <v>1</v>
      </c>
      <c r="C94" s="497">
        <v>1105</v>
      </c>
      <c r="D94" s="30">
        <v>12</v>
      </c>
      <c r="E94" s="32">
        <v>44757.24</v>
      </c>
      <c r="F94" s="455" t="s">
        <v>1039</v>
      </c>
      <c r="G94" s="34">
        <f t="shared" si="11"/>
        <v>44757.24</v>
      </c>
      <c r="H94" s="34">
        <f t="shared" si="12"/>
        <v>900</v>
      </c>
      <c r="I94" s="34">
        <f t="shared" si="13"/>
        <v>3000</v>
      </c>
      <c r="J94" s="34"/>
      <c r="K94" s="34">
        <f t="shared" si="14"/>
        <v>13999.920000000002</v>
      </c>
      <c r="L94" s="33"/>
      <c r="M94" s="34"/>
      <c r="N94" s="34"/>
      <c r="O94" s="34"/>
      <c r="P94" s="34"/>
      <c r="Q94" s="34"/>
      <c r="R94" s="34">
        <f t="shared" si="8"/>
        <v>13597.32</v>
      </c>
      <c r="S94" s="34">
        <f t="shared" si="9"/>
        <v>44757.24</v>
      </c>
      <c r="T94" s="34">
        <f t="shared" si="15"/>
        <v>44757.24</v>
      </c>
      <c r="U94" s="34"/>
      <c r="V94" s="34"/>
      <c r="W94" s="34"/>
      <c r="X94" s="34"/>
      <c r="Y94" s="34"/>
      <c r="Z94" s="34"/>
    </row>
    <row r="95" spans="1:26">
      <c r="A95" s="501" t="s">
        <v>186</v>
      </c>
      <c r="B95" s="453">
        <v>1</v>
      </c>
      <c r="C95" s="497">
        <v>1192</v>
      </c>
      <c r="D95" s="30">
        <v>12</v>
      </c>
      <c r="E95" s="32">
        <v>45801.24</v>
      </c>
      <c r="F95" s="455" t="s">
        <v>1039</v>
      </c>
      <c r="G95" s="34">
        <f t="shared" si="11"/>
        <v>45801.24</v>
      </c>
      <c r="H95" s="34">
        <f t="shared" si="12"/>
        <v>900</v>
      </c>
      <c r="I95" s="34">
        <f t="shared" si="13"/>
        <v>3000</v>
      </c>
      <c r="J95" s="34"/>
      <c r="K95" s="34">
        <f t="shared" si="14"/>
        <v>13999.920000000002</v>
      </c>
      <c r="L95" s="33"/>
      <c r="M95" s="34"/>
      <c r="N95" s="34"/>
      <c r="O95" s="34"/>
      <c r="P95" s="34"/>
      <c r="Q95" s="34"/>
      <c r="R95" s="34">
        <f t="shared" si="8"/>
        <v>13597.32</v>
      </c>
      <c r="S95" s="34">
        <f t="shared" si="9"/>
        <v>45801.24</v>
      </c>
      <c r="T95" s="34">
        <f t="shared" si="15"/>
        <v>45801.24</v>
      </c>
      <c r="U95" s="34"/>
      <c r="V95" s="34"/>
      <c r="W95" s="34"/>
      <c r="X95" s="34"/>
      <c r="Y95" s="34"/>
      <c r="Z95" s="34"/>
    </row>
    <row r="96" spans="1:26">
      <c r="A96" s="501" t="s">
        <v>190</v>
      </c>
      <c r="B96" s="453">
        <v>1</v>
      </c>
      <c r="C96" s="497">
        <v>1039</v>
      </c>
      <c r="D96" s="30">
        <v>12</v>
      </c>
      <c r="E96" s="32">
        <v>43665.24</v>
      </c>
      <c r="F96" s="455" t="s">
        <v>1039</v>
      </c>
      <c r="G96" s="34">
        <f t="shared" si="11"/>
        <v>43665.24</v>
      </c>
      <c r="H96" s="34">
        <f t="shared" si="12"/>
        <v>900</v>
      </c>
      <c r="I96" s="34">
        <f t="shared" si="13"/>
        <v>3000</v>
      </c>
      <c r="J96" s="34"/>
      <c r="K96" s="34">
        <f t="shared" si="14"/>
        <v>13999.920000000002</v>
      </c>
      <c r="L96" s="33"/>
      <c r="M96" s="34"/>
      <c r="N96" s="34"/>
      <c r="O96" s="34"/>
      <c r="P96" s="34"/>
      <c r="Q96" s="34"/>
      <c r="R96" s="34">
        <f t="shared" si="8"/>
        <v>13597.32</v>
      </c>
      <c r="S96" s="34">
        <f t="shared" si="9"/>
        <v>43665.24</v>
      </c>
      <c r="T96" s="34">
        <f t="shared" si="15"/>
        <v>43665.24</v>
      </c>
      <c r="U96" s="34"/>
      <c r="V96" s="34"/>
      <c r="W96" s="34"/>
      <c r="X96" s="34"/>
      <c r="Y96" s="34"/>
      <c r="Z96" s="34"/>
    </row>
    <row r="97" spans="1:26">
      <c r="A97" s="501" t="s">
        <v>1092</v>
      </c>
      <c r="B97" s="453">
        <v>3</v>
      </c>
      <c r="C97" s="502">
        <v>1701</v>
      </c>
      <c r="D97" s="30">
        <v>12</v>
      </c>
      <c r="E97" s="32">
        <v>155727.72000000003</v>
      </c>
      <c r="F97" s="455" t="s">
        <v>1039</v>
      </c>
      <c r="G97" s="34">
        <f t="shared" si="11"/>
        <v>155727.72000000003</v>
      </c>
      <c r="H97" s="34">
        <f t="shared" si="12"/>
        <v>2700</v>
      </c>
      <c r="I97" s="34">
        <f t="shared" si="13"/>
        <v>9000</v>
      </c>
      <c r="J97" s="34"/>
      <c r="K97" s="34">
        <f t="shared" si="14"/>
        <v>41999.760000000009</v>
      </c>
      <c r="L97" s="33"/>
      <c r="M97" s="34"/>
      <c r="N97" s="34"/>
      <c r="O97" s="34"/>
      <c r="P97" s="34"/>
      <c r="Q97" s="34"/>
      <c r="R97" s="34">
        <f t="shared" si="8"/>
        <v>40791.96</v>
      </c>
      <c r="S97" s="34">
        <f t="shared" si="9"/>
        <v>155727.72000000003</v>
      </c>
      <c r="T97" s="34">
        <f t="shared" si="15"/>
        <v>155727.72000000003</v>
      </c>
      <c r="U97" s="34"/>
      <c r="V97" s="34"/>
      <c r="W97" s="34"/>
      <c r="X97" s="34"/>
      <c r="Y97" s="34"/>
      <c r="Z97" s="34"/>
    </row>
    <row r="98" spans="1:26">
      <c r="A98" s="501" t="s">
        <v>1093</v>
      </c>
      <c r="B98" s="453">
        <v>1</v>
      </c>
      <c r="C98" s="497">
        <v>1831</v>
      </c>
      <c r="D98" s="30">
        <v>12</v>
      </c>
      <c r="E98" s="32">
        <v>53469.240000000005</v>
      </c>
      <c r="F98" s="455" t="s">
        <v>1039</v>
      </c>
      <c r="G98" s="34">
        <f t="shared" si="11"/>
        <v>53469.240000000005</v>
      </c>
      <c r="H98" s="34">
        <f t="shared" si="12"/>
        <v>900</v>
      </c>
      <c r="I98" s="34">
        <f t="shared" si="13"/>
        <v>3000</v>
      </c>
      <c r="J98" s="34"/>
      <c r="K98" s="34">
        <f t="shared" si="14"/>
        <v>13999.920000000002</v>
      </c>
      <c r="L98" s="33"/>
      <c r="M98" s="34"/>
      <c r="N98" s="34"/>
      <c r="O98" s="34"/>
      <c r="P98" s="34"/>
      <c r="Q98" s="34"/>
      <c r="R98" s="34">
        <f t="shared" si="8"/>
        <v>13597.32</v>
      </c>
      <c r="S98" s="34">
        <f t="shared" si="9"/>
        <v>53469.240000000005</v>
      </c>
      <c r="T98" s="34">
        <f t="shared" si="15"/>
        <v>53469.240000000005</v>
      </c>
      <c r="U98" s="34"/>
      <c r="V98" s="34"/>
      <c r="W98" s="34"/>
      <c r="X98" s="34"/>
      <c r="Y98" s="34"/>
      <c r="Z98" s="34"/>
    </row>
    <row r="99" spans="1:26">
      <c r="A99" s="501" t="s">
        <v>1094</v>
      </c>
      <c r="B99" s="453">
        <v>1</v>
      </c>
      <c r="C99" s="497">
        <v>1302</v>
      </c>
      <c r="D99" s="30">
        <v>12</v>
      </c>
      <c r="E99" s="32">
        <v>47121.24</v>
      </c>
      <c r="F99" s="455" t="s">
        <v>1039</v>
      </c>
      <c r="G99" s="34">
        <f t="shared" si="11"/>
        <v>47121.24</v>
      </c>
      <c r="H99" s="34">
        <f t="shared" si="12"/>
        <v>900</v>
      </c>
      <c r="I99" s="34">
        <f t="shared" si="13"/>
        <v>3000</v>
      </c>
      <c r="J99" s="34"/>
      <c r="K99" s="34">
        <f t="shared" si="14"/>
        <v>13999.920000000002</v>
      </c>
      <c r="L99" s="33"/>
      <c r="M99" s="34"/>
      <c r="N99" s="34"/>
      <c r="O99" s="34"/>
      <c r="P99" s="34"/>
      <c r="Q99" s="34"/>
      <c r="R99" s="34">
        <f t="shared" si="8"/>
        <v>13597.32</v>
      </c>
      <c r="S99" s="34">
        <f t="shared" si="9"/>
        <v>47121.24</v>
      </c>
      <c r="T99" s="34">
        <f t="shared" si="15"/>
        <v>47121.24</v>
      </c>
      <c r="U99" s="34"/>
      <c r="V99" s="34"/>
      <c r="W99" s="34"/>
      <c r="X99" s="34"/>
      <c r="Y99" s="34"/>
      <c r="Z99" s="34"/>
    </row>
    <row r="100" spans="1:26">
      <c r="A100" s="501" t="s">
        <v>1095</v>
      </c>
      <c r="B100" s="453">
        <v>1</v>
      </c>
      <c r="C100" s="497">
        <v>1302</v>
      </c>
      <c r="D100" s="30">
        <v>12</v>
      </c>
      <c r="E100" s="32">
        <v>47121.24</v>
      </c>
      <c r="F100" s="455" t="s">
        <v>1039</v>
      </c>
      <c r="G100" s="34">
        <f t="shared" si="11"/>
        <v>47121.24</v>
      </c>
      <c r="H100" s="34">
        <f t="shared" si="12"/>
        <v>900</v>
      </c>
      <c r="I100" s="34">
        <f t="shared" si="13"/>
        <v>3000</v>
      </c>
      <c r="J100" s="34"/>
      <c r="K100" s="34">
        <f t="shared" si="14"/>
        <v>13999.920000000002</v>
      </c>
      <c r="L100" s="33"/>
      <c r="M100" s="34"/>
      <c r="N100" s="34"/>
      <c r="O100" s="34"/>
      <c r="P100" s="34"/>
      <c r="Q100" s="34"/>
      <c r="R100" s="34">
        <f t="shared" si="8"/>
        <v>13597.32</v>
      </c>
      <c r="S100" s="34">
        <f t="shared" si="9"/>
        <v>47121.24</v>
      </c>
      <c r="T100" s="34">
        <f t="shared" si="15"/>
        <v>47121.24</v>
      </c>
      <c r="U100" s="34"/>
      <c r="V100" s="34"/>
      <c r="W100" s="34"/>
      <c r="X100" s="34"/>
      <c r="Y100" s="34"/>
      <c r="Z100" s="34"/>
    </row>
    <row r="101" spans="1:26">
      <c r="A101" s="501" t="s">
        <v>1096</v>
      </c>
      <c r="B101" s="453">
        <v>1</v>
      </c>
      <c r="C101" s="497">
        <v>1105</v>
      </c>
      <c r="D101" s="30">
        <v>12</v>
      </c>
      <c r="E101" s="32">
        <v>44757.24</v>
      </c>
      <c r="F101" s="455" t="s">
        <v>1039</v>
      </c>
      <c r="G101" s="34">
        <f t="shared" si="11"/>
        <v>44757.24</v>
      </c>
      <c r="H101" s="34">
        <f t="shared" si="12"/>
        <v>900</v>
      </c>
      <c r="I101" s="34">
        <f t="shared" si="13"/>
        <v>3000</v>
      </c>
      <c r="J101" s="34"/>
      <c r="K101" s="34">
        <f t="shared" si="14"/>
        <v>13999.920000000002</v>
      </c>
      <c r="L101" s="33"/>
      <c r="M101" s="34"/>
      <c r="N101" s="34"/>
      <c r="O101" s="34"/>
      <c r="P101" s="34"/>
      <c r="Q101" s="34"/>
      <c r="R101" s="34">
        <f t="shared" si="8"/>
        <v>13597.32</v>
      </c>
      <c r="S101" s="34">
        <f t="shared" si="9"/>
        <v>44757.24</v>
      </c>
      <c r="T101" s="34">
        <f t="shared" si="15"/>
        <v>44757.24</v>
      </c>
      <c r="U101" s="34"/>
      <c r="V101" s="34"/>
      <c r="W101" s="34"/>
      <c r="X101" s="34"/>
      <c r="Y101" s="34"/>
      <c r="Z101" s="34"/>
    </row>
    <row r="102" spans="1:26">
      <c r="A102" s="501" t="s">
        <v>190</v>
      </c>
      <c r="B102" s="453">
        <v>1</v>
      </c>
      <c r="C102" s="497">
        <v>1039</v>
      </c>
      <c r="D102" s="30">
        <v>12</v>
      </c>
      <c r="E102" s="32">
        <v>43965.24</v>
      </c>
      <c r="F102" s="455" t="s">
        <v>1039</v>
      </c>
      <c r="G102" s="34">
        <f t="shared" si="11"/>
        <v>43965.24</v>
      </c>
      <c r="H102" s="34">
        <f t="shared" si="12"/>
        <v>900</v>
      </c>
      <c r="I102" s="34">
        <f t="shared" si="13"/>
        <v>3000</v>
      </c>
      <c r="J102" s="34"/>
      <c r="K102" s="34">
        <f t="shared" si="14"/>
        <v>13999.920000000002</v>
      </c>
      <c r="L102" s="33"/>
      <c r="M102" s="34"/>
      <c r="N102" s="34"/>
      <c r="O102" s="34"/>
      <c r="P102" s="34"/>
      <c r="Q102" s="34"/>
      <c r="R102" s="34">
        <f t="shared" si="8"/>
        <v>13597.32</v>
      </c>
      <c r="S102" s="34">
        <f t="shared" si="9"/>
        <v>43965.24</v>
      </c>
      <c r="T102" s="34">
        <f t="shared" si="15"/>
        <v>43965.24</v>
      </c>
      <c r="U102" s="34"/>
      <c r="V102" s="34"/>
      <c r="W102" s="34"/>
      <c r="X102" s="34"/>
      <c r="Y102" s="34"/>
      <c r="Z102" s="34"/>
    </row>
    <row r="103" spans="1:26">
      <c r="A103" s="501" t="s">
        <v>1097</v>
      </c>
      <c r="B103" s="453">
        <v>1</v>
      </c>
      <c r="C103" s="497">
        <v>1831</v>
      </c>
      <c r="D103" s="30">
        <v>12</v>
      </c>
      <c r="E103" s="32">
        <v>51909.240000000005</v>
      </c>
      <c r="F103" s="455" t="s">
        <v>1039</v>
      </c>
      <c r="G103" s="34">
        <f t="shared" si="11"/>
        <v>51909.240000000005</v>
      </c>
      <c r="H103" s="34">
        <f t="shared" si="12"/>
        <v>900</v>
      </c>
      <c r="I103" s="34">
        <f t="shared" si="13"/>
        <v>3000</v>
      </c>
      <c r="J103" s="34"/>
      <c r="K103" s="34">
        <f t="shared" si="14"/>
        <v>13999.920000000002</v>
      </c>
      <c r="L103" s="33"/>
      <c r="M103" s="34"/>
      <c r="N103" s="34"/>
      <c r="O103" s="34"/>
      <c r="P103" s="34"/>
      <c r="Q103" s="34"/>
      <c r="R103" s="34">
        <f t="shared" si="8"/>
        <v>13597.32</v>
      </c>
      <c r="S103" s="34">
        <f t="shared" si="9"/>
        <v>51909.240000000005</v>
      </c>
      <c r="T103" s="34">
        <f t="shared" si="15"/>
        <v>51909.240000000005</v>
      </c>
      <c r="U103" s="34"/>
      <c r="V103" s="34"/>
      <c r="W103" s="34"/>
      <c r="X103" s="34"/>
      <c r="Y103" s="34"/>
      <c r="Z103" s="34"/>
    </row>
    <row r="104" spans="1:26">
      <c r="A104" s="501" t="s">
        <v>1098</v>
      </c>
      <c r="B104" s="453">
        <v>1</v>
      </c>
      <c r="C104" s="497">
        <v>1831</v>
      </c>
      <c r="D104" s="30">
        <v>12</v>
      </c>
      <c r="E104" s="32">
        <v>51909.240000000005</v>
      </c>
      <c r="F104" s="455" t="s">
        <v>1039</v>
      </c>
      <c r="G104" s="34">
        <f t="shared" si="11"/>
        <v>51909.240000000005</v>
      </c>
      <c r="H104" s="34">
        <f t="shared" si="12"/>
        <v>900</v>
      </c>
      <c r="I104" s="34">
        <f t="shared" si="13"/>
        <v>3000</v>
      </c>
      <c r="J104" s="34"/>
      <c r="K104" s="34">
        <f t="shared" si="14"/>
        <v>13999.920000000002</v>
      </c>
      <c r="L104" s="33"/>
      <c r="M104" s="34"/>
      <c r="N104" s="34"/>
      <c r="O104" s="34"/>
      <c r="P104" s="34"/>
      <c r="Q104" s="34"/>
      <c r="R104" s="34">
        <f t="shared" si="8"/>
        <v>13597.32</v>
      </c>
      <c r="S104" s="34">
        <f t="shared" si="9"/>
        <v>51909.240000000005</v>
      </c>
      <c r="T104" s="34">
        <f t="shared" si="15"/>
        <v>51909.240000000005</v>
      </c>
      <c r="U104" s="34"/>
      <c r="V104" s="34"/>
      <c r="W104" s="34"/>
      <c r="X104" s="34"/>
      <c r="Y104" s="34"/>
      <c r="Z104" s="34"/>
    </row>
    <row r="105" spans="1:26">
      <c r="A105" s="501" t="s">
        <v>1099</v>
      </c>
      <c r="B105" s="453">
        <v>1</v>
      </c>
      <c r="C105" s="497">
        <v>1135</v>
      </c>
      <c r="D105" s="30">
        <v>12</v>
      </c>
      <c r="E105" s="32">
        <v>45117.24</v>
      </c>
      <c r="F105" s="455" t="s">
        <v>1039</v>
      </c>
      <c r="G105" s="34">
        <f t="shared" si="11"/>
        <v>45117.24</v>
      </c>
      <c r="H105" s="34">
        <f t="shared" si="12"/>
        <v>900</v>
      </c>
      <c r="I105" s="34">
        <f t="shared" si="13"/>
        <v>3000</v>
      </c>
      <c r="J105" s="34"/>
      <c r="K105" s="34">
        <f t="shared" si="14"/>
        <v>13999.920000000002</v>
      </c>
      <c r="L105" s="33"/>
      <c r="M105" s="34"/>
      <c r="N105" s="34"/>
      <c r="O105" s="34"/>
      <c r="P105" s="34"/>
      <c r="Q105" s="34"/>
      <c r="R105" s="34">
        <f t="shared" si="8"/>
        <v>13597.32</v>
      </c>
      <c r="S105" s="34">
        <f t="shared" si="9"/>
        <v>45117.24</v>
      </c>
      <c r="T105" s="34">
        <f t="shared" si="15"/>
        <v>45117.24</v>
      </c>
      <c r="U105" s="34"/>
      <c r="V105" s="34"/>
      <c r="W105" s="34"/>
      <c r="X105" s="34"/>
      <c r="Y105" s="34"/>
      <c r="Z105" s="34"/>
    </row>
    <row r="106" spans="1:26">
      <c r="A106" s="501" t="s">
        <v>184</v>
      </c>
      <c r="B106" s="453">
        <v>1</v>
      </c>
      <c r="C106" s="497">
        <v>1286</v>
      </c>
      <c r="D106" s="30">
        <v>12</v>
      </c>
      <c r="E106" s="32">
        <v>46929.24</v>
      </c>
      <c r="F106" s="455" t="s">
        <v>1039</v>
      </c>
      <c r="G106" s="34">
        <f t="shared" si="11"/>
        <v>46929.24</v>
      </c>
      <c r="H106" s="34">
        <f t="shared" si="12"/>
        <v>900</v>
      </c>
      <c r="I106" s="34">
        <f t="shared" si="13"/>
        <v>3000</v>
      </c>
      <c r="J106" s="34"/>
      <c r="K106" s="34">
        <f t="shared" si="14"/>
        <v>13999.920000000002</v>
      </c>
      <c r="L106" s="33"/>
      <c r="M106" s="34"/>
      <c r="N106" s="34"/>
      <c r="O106" s="34"/>
      <c r="P106" s="34"/>
      <c r="Q106" s="34"/>
      <c r="R106" s="34">
        <f t="shared" si="8"/>
        <v>13597.32</v>
      </c>
      <c r="S106" s="34">
        <f t="shared" si="9"/>
        <v>46929.24</v>
      </c>
      <c r="T106" s="34">
        <f t="shared" si="15"/>
        <v>46929.24</v>
      </c>
      <c r="U106" s="34"/>
      <c r="V106" s="34"/>
      <c r="W106" s="34"/>
      <c r="X106" s="34"/>
      <c r="Y106" s="34"/>
      <c r="Z106" s="34"/>
    </row>
    <row r="107" spans="1:26" ht="23.25">
      <c r="A107" s="503" t="s">
        <v>1100</v>
      </c>
      <c r="B107" s="453">
        <v>1</v>
      </c>
      <c r="C107" s="497">
        <v>1168</v>
      </c>
      <c r="D107" s="30">
        <v>12</v>
      </c>
      <c r="E107" s="32">
        <v>45513.24</v>
      </c>
      <c r="F107" s="455" t="s">
        <v>1039</v>
      </c>
      <c r="G107" s="34">
        <f t="shared" si="11"/>
        <v>45513.24</v>
      </c>
      <c r="H107" s="34">
        <f t="shared" si="12"/>
        <v>900</v>
      </c>
      <c r="I107" s="34">
        <f t="shared" si="13"/>
        <v>3000</v>
      </c>
      <c r="J107" s="34"/>
      <c r="K107" s="34">
        <f t="shared" si="14"/>
        <v>13999.920000000002</v>
      </c>
      <c r="L107" s="33"/>
      <c r="M107" s="34"/>
      <c r="N107" s="34"/>
      <c r="O107" s="34"/>
      <c r="P107" s="34"/>
      <c r="Q107" s="34"/>
      <c r="R107" s="34">
        <f t="shared" si="8"/>
        <v>13597.32</v>
      </c>
      <c r="S107" s="34">
        <f t="shared" si="9"/>
        <v>45513.24</v>
      </c>
      <c r="T107" s="34">
        <f t="shared" si="15"/>
        <v>45513.24</v>
      </c>
      <c r="U107" s="34"/>
      <c r="V107" s="34"/>
      <c r="W107" s="34"/>
      <c r="X107" s="34"/>
      <c r="Y107" s="34"/>
      <c r="Z107" s="34"/>
    </row>
    <row r="108" spans="1:26">
      <c r="A108" s="501" t="s">
        <v>42</v>
      </c>
      <c r="B108" s="453">
        <v>1</v>
      </c>
      <c r="C108" s="502">
        <v>1159</v>
      </c>
      <c r="D108" s="30">
        <v>12</v>
      </c>
      <c r="E108" s="32">
        <v>45405.24</v>
      </c>
      <c r="F108" s="455" t="s">
        <v>1039</v>
      </c>
      <c r="G108" s="34">
        <f t="shared" si="11"/>
        <v>45405.24</v>
      </c>
      <c r="H108" s="34">
        <f t="shared" si="12"/>
        <v>900</v>
      </c>
      <c r="I108" s="34">
        <f t="shared" si="13"/>
        <v>3000</v>
      </c>
      <c r="J108" s="34"/>
      <c r="K108" s="34">
        <f t="shared" si="14"/>
        <v>13999.920000000002</v>
      </c>
      <c r="L108" s="33"/>
      <c r="M108" s="34"/>
      <c r="N108" s="34"/>
      <c r="O108" s="34"/>
      <c r="P108" s="34"/>
      <c r="Q108" s="34"/>
      <c r="R108" s="34">
        <f t="shared" si="8"/>
        <v>13597.32</v>
      </c>
      <c r="S108" s="34">
        <f t="shared" si="9"/>
        <v>45405.24</v>
      </c>
      <c r="T108" s="34">
        <f t="shared" si="15"/>
        <v>45405.24</v>
      </c>
      <c r="U108" s="34"/>
      <c r="V108" s="34"/>
      <c r="W108" s="34"/>
      <c r="X108" s="34"/>
      <c r="Y108" s="34"/>
      <c r="Z108" s="34"/>
    </row>
    <row r="109" spans="1:26">
      <c r="A109" s="501" t="s">
        <v>1093</v>
      </c>
      <c r="B109" s="453">
        <v>2</v>
      </c>
      <c r="C109" s="497">
        <v>1831</v>
      </c>
      <c r="D109" s="30">
        <v>12</v>
      </c>
      <c r="E109" s="32">
        <v>106938.48000000001</v>
      </c>
      <c r="F109" s="455" t="s">
        <v>1039</v>
      </c>
      <c r="G109" s="34">
        <f t="shared" si="11"/>
        <v>106938.48000000001</v>
      </c>
      <c r="H109" s="34">
        <f t="shared" si="12"/>
        <v>1800</v>
      </c>
      <c r="I109" s="34">
        <f t="shared" si="13"/>
        <v>6000</v>
      </c>
      <c r="J109" s="34"/>
      <c r="K109" s="34">
        <f t="shared" si="14"/>
        <v>27999.840000000004</v>
      </c>
      <c r="L109" s="33"/>
      <c r="M109" s="34"/>
      <c r="N109" s="34"/>
      <c r="O109" s="34"/>
      <c r="P109" s="34"/>
      <c r="Q109" s="34"/>
      <c r="R109" s="34">
        <f t="shared" si="8"/>
        <v>27194.639999999999</v>
      </c>
      <c r="S109" s="34">
        <f t="shared" si="9"/>
        <v>106938.48000000001</v>
      </c>
      <c r="T109" s="34">
        <f t="shared" si="15"/>
        <v>106938.48000000001</v>
      </c>
      <c r="U109" s="34"/>
      <c r="V109" s="34"/>
      <c r="W109" s="34"/>
      <c r="X109" s="34"/>
      <c r="Y109" s="34"/>
      <c r="Z109" s="34"/>
    </row>
    <row r="110" spans="1:26">
      <c r="A110" s="501" t="s">
        <v>1072</v>
      </c>
      <c r="B110" s="453">
        <v>2</v>
      </c>
      <c r="C110" s="497">
        <v>1460</v>
      </c>
      <c r="D110" s="30">
        <v>12</v>
      </c>
      <c r="E110" s="32">
        <v>98034.48</v>
      </c>
      <c r="F110" s="455" t="s">
        <v>1039</v>
      </c>
      <c r="G110" s="34">
        <f t="shared" si="11"/>
        <v>98034.48</v>
      </c>
      <c r="H110" s="34">
        <f t="shared" si="12"/>
        <v>1800</v>
      </c>
      <c r="I110" s="34">
        <f t="shared" si="13"/>
        <v>6000</v>
      </c>
      <c r="J110" s="34"/>
      <c r="K110" s="34">
        <f t="shared" si="14"/>
        <v>27999.840000000004</v>
      </c>
      <c r="L110" s="33"/>
      <c r="M110" s="34"/>
      <c r="N110" s="34"/>
      <c r="O110" s="34"/>
      <c r="P110" s="34"/>
      <c r="Q110" s="34"/>
      <c r="R110" s="34">
        <f t="shared" si="8"/>
        <v>27194.639999999999</v>
      </c>
      <c r="S110" s="34">
        <f t="shared" si="9"/>
        <v>98034.48</v>
      </c>
      <c r="T110" s="34">
        <f t="shared" si="15"/>
        <v>98034.48</v>
      </c>
      <c r="U110" s="34"/>
      <c r="V110" s="34"/>
      <c r="W110" s="34"/>
      <c r="X110" s="34"/>
      <c r="Y110" s="34"/>
      <c r="Z110" s="34"/>
    </row>
    <row r="111" spans="1:26">
      <c r="A111" s="501" t="s">
        <v>1101</v>
      </c>
      <c r="B111" s="453">
        <v>1</v>
      </c>
      <c r="C111" s="497">
        <v>1460</v>
      </c>
      <c r="D111" s="30">
        <v>12</v>
      </c>
      <c r="E111" s="32">
        <v>49017.24</v>
      </c>
      <c r="F111" s="455" t="s">
        <v>1039</v>
      </c>
      <c r="G111" s="34">
        <f t="shared" si="11"/>
        <v>49017.24</v>
      </c>
      <c r="H111" s="34">
        <f t="shared" si="12"/>
        <v>900</v>
      </c>
      <c r="I111" s="34">
        <f t="shared" si="13"/>
        <v>3000</v>
      </c>
      <c r="J111" s="34"/>
      <c r="K111" s="34">
        <f t="shared" si="14"/>
        <v>13999.920000000002</v>
      </c>
      <c r="L111" s="33"/>
      <c r="M111" s="34"/>
      <c r="N111" s="34"/>
      <c r="O111" s="34"/>
      <c r="P111" s="34"/>
      <c r="Q111" s="34"/>
      <c r="R111" s="34">
        <f t="shared" si="8"/>
        <v>13597.32</v>
      </c>
      <c r="S111" s="34">
        <f t="shared" si="9"/>
        <v>49017.24</v>
      </c>
      <c r="T111" s="34">
        <f t="shared" si="15"/>
        <v>49017.24</v>
      </c>
      <c r="U111" s="34"/>
      <c r="V111" s="34"/>
      <c r="W111" s="34"/>
      <c r="X111" s="34"/>
      <c r="Y111" s="34"/>
      <c r="Z111" s="34"/>
    </row>
    <row r="112" spans="1:26">
      <c r="A112" s="501" t="s">
        <v>1102</v>
      </c>
      <c r="B112" s="453">
        <v>1</v>
      </c>
      <c r="C112" s="497">
        <v>3987</v>
      </c>
      <c r="D112" s="30">
        <v>12</v>
      </c>
      <c r="E112" s="32">
        <v>78441.240000000005</v>
      </c>
      <c r="F112" s="455" t="s">
        <v>1039</v>
      </c>
      <c r="G112" s="34">
        <f t="shared" si="11"/>
        <v>78441.240000000005</v>
      </c>
      <c r="H112" s="34">
        <f t="shared" si="12"/>
        <v>900</v>
      </c>
      <c r="I112" s="34">
        <f t="shared" si="13"/>
        <v>3000</v>
      </c>
      <c r="J112" s="34"/>
      <c r="K112" s="34">
        <f t="shared" si="14"/>
        <v>13999.920000000002</v>
      </c>
      <c r="L112" s="33"/>
      <c r="M112" s="34"/>
      <c r="N112" s="34"/>
      <c r="O112" s="34"/>
      <c r="P112" s="34"/>
      <c r="Q112" s="34"/>
      <c r="R112" s="34">
        <f t="shared" si="8"/>
        <v>13597.32</v>
      </c>
      <c r="S112" s="34">
        <f t="shared" si="9"/>
        <v>78441.240000000005</v>
      </c>
      <c r="T112" s="34">
        <f t="shared" si="15"/>
        <v>78441.240000000005</v>
      </c>
      <c r="U112" s="34"/>
      <c r="V112" s="34"/>
      <c r="W112" s="34"/>
      <c r="X112" s="34"/>
      <c r="Y112" s="34"/>
      <c r="Z112" s="34"/>
    </row>
    <row r="113" spans="1:26">
      <c r="A113" s="501" t="s">
        <v>1103</v>
      </c>
      <c r="B113" s="453">
        <v>1</v>
      </c>
      <c r="C113" s="497">
        <v>3757</v>
      </c>
      <c r="D113" s="30">
        <v>12</v>
      </c>
      <c r="E113" s="32">
        <v>75681.240000000005</v>
      </c>
      <c r="F113" s="455" t="s">
        <v>1039</v>
      </c>
      <c r="G113" s="34">
        <f t="shared" si="11"/>
        <v>75681.240000000005</v>
      </c>
      <c r="H113" s="34">
        <f t="shared" si="12"/>
        <v>900</v>
      </c>
      <c r="I113" s="34">
        <f t="shared" si="13"/>
        <v>3000</v>
      </c>
      <c r="J113" s="34"/>
      <c r="K113" s="34">
        <f t="shared" si="14"/>
        <v>13999.920000000002</v>
      </c>
      <c r="L113" s="33"/>
      <c r="M113" s="34"/>
      <c r="N113" s="34"/>
      <c r="O113" s="34"/>
      <c r="P113" s="34"/>
      <c r="Q113" s="34"/>
      <c r="R113" s="34">
        <f t="shared" si="8"/>
        <v>13597.32</v>
      </c>
      <c r="S113" s="34">
        <f t="shared" si="9"/>
        <v>75681.240000000005</v>
      </c>
      <c r="T113" s="34">
        <f t="shared" si="15"/>
        <v>75681.240000000005</v>
      </c>
      <c r="U113" s="34"/>
      <c r="V113" s="34"/>
      <c r="W113" s="34"/>
      <c r="X113" s="34"/>
      <c r="Y113" s="34"/>
      <c r="Z113" s="34"/>
    </row>
    <row r="114" spans="1:26">
      <c r="A114" s="501" t="s">
        <v>1104</v>
      </c>
      <c r="B114" s="453">
        <v>1</v>
      </c>
      <c r="C114" s="497">
        <v>1381</v>
      </c>
      <c r="D114" s="30">
        <v>12</v>
      </c>
      <c r="E114" s="32">
        <v>47769.24</v>
      </c>
      <c r="F114" s="455" t="s">
        <v>1039</v>
      </c>
      <c r="G114" s="34">
        <f t="shared" si="11"/>
        <v>47769.24</v>
      </c>
      <c r="H114" s="34">
        <f t="shared" si="12"/>
        <v>900</v>
      </c>
      <c r="I114" s="34">
        <f t="shared" si="13"/>
        <v>3000</v>
      </c>
      <c r="J114" s="34"/>
      <c r="K114" s="34">
        <f t="shared" si="14"/>
        <v>13999.920000000002</v>
      </c>
      <c r="L114" s="33"/>
      <c r="M114" s="34"/>
      <c r="N114" s="34"/>
      <c r="O114" s="34"/>
      <c r="P114" s="34"/>
      <c r="Q114" s="34"/>
      <c r="R114" s="34">
        <f t="shared" si="8"/>
        <v>13597.32</v>
      </c>
      <c r="S114" s="34">
        <f t="shared" si="9"/>
        <v>47769.24</v>
      </c>
      <c r="T114" s="34">
        <f t="shared" si="15"/>
        <v>47769.24</v>
      </c>
      <c r="U114" s="34"/>
      <c r="V114" s="34"/>
      <c r="W114" s="34"/>
      <c r="X114" s="34"/>
      <c r="Y114" s="34"/>
      <c r="Z114" s="34"/>
    </row>
    <row r="115" spans="1:26">
      <c r="A115" s="501" t="s">
        <v>1053</v>
      </c>
      <c r="B115" s="453">
        <v>1</v>
      </c>
      <c r="C115" s="497">
        <v>1381</v>
      </c>
      <c r="D115" s="30">
        <v>12</v>
      </c>
      <c r="E115" s="32">
        <v>48069.24</v>
      </c>
      <c r="F115" s="455" t="s">
        <v>1039</v>
      </c>
      <c r="G115" s="34">
        <f t="shared" si="11"/>
        <v>48069.24</v>
      </c>
      <c r="H115" s="34">
        <f t="shared" si="12"/>
        <v>900</v>
      </c>
      <c r="I115" s="34">
        <f t="shared" si="13"/>
        <v>3000</v>
      </c>
      <c r="J115" s="34"/>
      <c r="K115" s="34">
        <f t="shared" si="14"/>
        <v>13999.920000000002</v>
      </c>
      <c r="L115" s="33"/>
      <c r="M115" s="34"/>
      <c r="N115" s="34"/>
      <c r="O115" s="34"/>
      <c r="P115" s="34"/>
      <c r="Q115" s="34"/>
      <c r="R115" s="34">
        <f t="shared" si="8"/>
        <v>13597.32</v>
      </c>
      <c r="S115" s="34">
        <f t="shared" si="9"/>
        <v>48069.24</v>
      </c>
      <c r="T115" s="34">
        <f t="shared" si="15"/>
        <v>48069.24</v>
      </c>
      <c r="U115" s="34"/>
      <c r="V115" s="34"/>
      <c r="W115" s="34"/>
      <c r="X115" s="34"/>
      <c r="Y115" s="34"/>
      <c r="Z115" s="34"/>
    </row>
    <row r="116" spans="1:26">
      <c r="A116" s="501" t="s">
        <v>1105</v>
      </c>
      <c r="B116" s="453">
        <v>1</v>
      </c>
      <c r="C116" s="497">
        <v>1381</v>
      </c>
      <c r="D116" s="30">
        <v>12</v>
      </c>
      <c r="E116" s="32">
        <v>48069.24</v>
      </c>
      <c r="F116" s="455" t="s">
        <v>1039</v>
      </c>
      <c r="G116" s="34">
        <f t="shared" si="11"/>
        <v>48069.24</v>
      </c>
      <c r="H116" s="34">
        <f t="shared" si="12"/>
        <v>900</v>
      </c>
      <c r="I116" s="34">
        <f t="shared" si="13"/>
        <v>3000</v>
      </c>
      <c r="J116" s="34"/>
      <c r="K116" s="34">
        <f t="shared" si="14"/>
        <v>13999.920000000002</v>
      </c>
      <c r="L116" s="33"/>
      <c r="M116" s="34"/>
      <c r="N116" s="34"/>
      <c r="O116" s="34"/>
      <c r="P116" s="34"/>
      <c r="Q116" s="34"/>
      <c r="R116" s="34">
        <f t="shared" si="8"/>
        <v>13597.32</v>
      </c>
      <c r="S116" s="34">
        <f t="shared" si="9"/>
        <v>48069.24</v>
      </c>
      <c r="T116" s="34">
        <f t="shared" si="15"/>
        <v>48069.24</v>
      </c>
      <c r="U116" s="34"/>
      <c r="V116" s="34"/>
      <c r="W116" s="34"/>
      <c r="X116" s="34"/>
      <c r="Y116" s="34"/>
      <c r="Z116" s="34"/>
    </row>
    <row r="117" spans="1:26">
      <c r="A117" s="501" t="s">
        <v>1106</v>
      </c>
      <c r="B117" s="453">
        <v>1</v>
      </c>
      <c r="C117" s="497">
        <v>1460</v>
      </c>
      <c r="D117" s="30">
        <v>12</v>
      </c>
      <c r="E117" s="32">
        <v>49017.24</v>
      </c>
      <c r="F117" s="455" t="s">
        <v>1039</v>
      </c>
      <c r="G117" s="34">
        <f t="shared" si="11"/>
        <v>49017.24</v>
      </c>
      <c r="H117" s="34">
        <f t="shared" si="12"/>
        <v>900</v>
      </c>
      <c r="I117" s="34">
        <f t="shared" si="13"/>
        <v>3000</v>
      </c>
      <c r="J117" s="34"/>
      <c r="K117" s="34">
        <f t="shared" si="14"/>
        <v>13999.920000000002</v>
      </c>
      <c r="L117" s="33"/>
      <c r="M117" s="34"/>
      <c r="N117" s="34"/>
      <c r="O117" s="34"/>
      <c r="P117" s="34"/>
      <c r="Q117" s="34"/>
      <c r="R117" s="34">
        <f t="shared" si="8"/>
        <v>13597.32</v>
      </c>
      <c r="S117" s="34">
        <f t="shared" si="9"/>
        <v>49017.24</v>
      </c>
      <c r="T117" s="34">
        <f t="shared" si="15"/>
        <v>49017.24</v>
      </c>
      <c r="U117" s="34"/>
      <c r="V117" s="34"/>
      <c r="W117" s="34"/>
      <c r="X117" s="34"/>
      <c r="Y117" s="34"/>
      <c r="Z117" s="34"/>
    </row>
    <row r="118" spans="1:26">
      <c r="A118" s="501" t="s">
        <v>1107</v>
      </c>
      <c r="B118" s="453">
        <v>2</v>
      </c>
      <c r="C118" s="497">
        <v>4219</v>
      </c>
      <c r="D118" s="30">
        <v>12</v>
      </c>
      <c r="E118" s="32">
        <v>162450.48000000001</v>
      </c>
      <c r="F118" s="455" t="s">
        <v>1039</v>
      </c>
      <c r="G118" s="34">
        <f t="shared" si="11"/>
        <v>162450.48000000001</v>
      </c>
      <c r="H118" s="34">
        <f t="shared" si="12"/>
        <v>1800</v>
      </c>
      <c r="I118" s="34">
        <f t="shared" si="13"/>
        <v>6000</v>
      </c>
      <c r="J118" s="34"/>
      <c r="K118" s="34">
        <f t="shared" si="14"/>
        <v>27999.840000000004</v>
      </c>
      <c r="L118" s="33"/>
      <c r="M118" s="34"/>
      <c r="N118" s="34"/>
      <c r="O118" s="34"/>
      <c r="P118" s="34"/>
      <c r="Q118" s="34"/>
      <c r="R118" s="34">
        <f t="shared" si="8"/>
        <v>27194.639999999999</v>
      </c>
      <c r="S118" s="34">
        <f t="shared" si="9"/>
        <v>162450.48000000001</v>
      </c>
      <c r="T118" s="34">
        <f t="shared" si="15"/>
        <v>162450.48000000001</v>
      </c>
      <c r="U118" s="34"/>
      <c r="V118" s="34"/>
      <c r="W118" s="34"/>
      <c r="X118" s="34"/>
      <c r="Y118" s="34"/>
      <c r="Z118" s="34"/>
    </row>
    <row r="119" spans="1:26">
      <c r="A119" s="501" t="s">
        <v>1108</v>
      </c>
      <c r="B119" s="453">
        <v>1</v>
      </c>
      <c r="C119" s="497">
        <v>1302</v>
      </c>
      <c r="D119" s="30">
        <v>12</v>
      </c>
      <c r="E119" s="32">
        <v>47121.24</v>
      </c>
      <c r="F119" s="455" t="s">
        <v>1039</v>
      </c>
      <c r="G119" s="34">
        <f t="shared" si="11"/>
        <v>47121.24</v>
      </c>
      <c r="H119" s="34">
        <f t="shared" si="12"/>
        <v>900</v>
      </c>
      <c r="I119" s="34">
        <f t="shared" si="13"/>
        <v>3000</v>
      </c>
      <c r="J119" s="34"/>
      <c r="K119" s="34">
        <f t="shared" si="14"/>
        <v>13999.920000000002</v>
      </c>
      <c r="L119" s="33"/>
      <c r="M119" s="34"/>
      <c r="N119" s="34"/>
      <c r="O119" s="34"/>
      <c r="P119" s="34"/>
      <c r="Q119" s="34"/>
      <c r="R119" s="34">
        <f t="shared" si="8"/>
        <v>13597.32</v>
      </c>
      <c r="S119" s="34">
        <f t="shared" si="9"/>
        <v>47121.24</v>
      </c>
      <c r="T119" s="34">
        <f t="shared" si="15"/>
        <v>47121.24</v>
      </c>
      <c r="U119" s="34"/>
      <c r="V119" s="34"/>
      <c r="W119" s="34"/>
      <c r="X119" s="34"/>
      <c r="Y119" s="34"/>
      <c r="Z119" s="34"/>
    </row>
    <row r="120" spans="1:26">
      <c r="A120" s="501" t="s">
        <v>1069</v>
      </c>
      <c r="B120" s="453">
        <v>1</v>
      </c>
      <c r="C120" s="497">
        <v>2604</v>
      </c>
      <c r="D120" s="30">
        <v>12</v>
      </c>
      <c r="E120" s="32">
        <v>60604.200000000004</v>
      </c>
      <c r="F120" s="455" t="s">
        <v>1039</v>
      </c>
      <c r="G120" s="34">
        <f t="shared" si="11"/>
        <v>60604.200000000004</v>
      </c>
      <c r="H120" s="34">
        <f t="shared" si="12"/>
        <v>900</v>
      </c>
      <c r="I120" s="34">
        <f t="shared" si="13"/>
        <v>3000</v>
      </c>
      <c r="J120" s="34"/>
      <c r="K120" s="34">
        <f t="shared" si="14"/>
        <v>13999.920000000002</v>
      </c>
      <c r="L120" s="33"/>
      <c r="M120" s="34"/>
      <c r="N120" s="34"/>
      <c r="O120" s="34"/>
      <c r="P120" s="34"/>
      <c r="Q120" s="34"/>
      <c r="R120" s="34">
        <f t="shared" si="8"/>
        <v>13597.32</v>
      </c>
      <c r="S120" s="34">
        <f t="shared" si="9"/>
        <v>60604.200000000004</v>
      </c>
      <c r="T120" s="34">
        <f t="shared" si="15"/>
        <v>60604.200000000004</v>
      </c>
      <c r="U120" s="34"/>
      <c r="V120" s="34"/>
      <c r="W120" s="34"/>
      <c r="X120" s="34"/>
      <c r="Y120" s="34"/>
      <c r="Z120" s="34"/>
    </row>
    <row r="121" spans="1:26">
      <c r="A121" s="501" t="s">
        <v>190</v>
      </c>
      <c r="B121" s="453">
        <v>33</v>
      </c>
      <c r="C121" s="497">
        <v>1039</v>
      </c>
      <c r="D121" s="30">
        <v>12</v>
      </c>
      <c r="E121" s="32">
        <v>1440952.92</v>
      </c>
      <c r="F121" s="455" t="s">
        <v>1039</v>
      </c>
      <c r="G121" s="34">
        <f t="shared" si="11"/>
        <v>1440952.92</v>
      </c>
      <c r="H121" s="34">
        <f t="shared" si="12"/>
        <v>29700</v>
      </c>
      <c r="I121" s="34">
        <f t="shared" si="13"/>
        <v>99000</v>
      </c>
      <c r="J121" s="34"/>
      <c r="K121" s="34">
        <f t="shared" si="14"/>
        <v>461997.36000000004</v>
      </c>
      <c r="L121" s="33"/>
      <c r="M121" s="34"/>
      <c r="N121" s="34"/>
      <c r="O121" s="34"/>
      <c r="P121" s="34"/>
      <c r="Q121" s="34"/>
      <c r="R121" s="34">
        <f t="shared" si="8"/>
        <v>448711.56</v>
      </c>
      <c r="S121" s="34">
        <f t="shared" si="9"/>
        <v>1440952.92</v>
      </c>
      <c r="T121" s="34">
        <f t="shared" si="15"/>
        <v>1440952.92</v>
      </c>
      <c r="U121" s="34"/>
      <c r="V121" s="34"/>
      <c r="W121" s="34"/>
      <c r="X121" s="34"/>
      <c r="Y121" s="34"/>
      <c r="Z121" s="34"/>
    </row>
    <row r="122" spans="1:26">
      <c r="A122" s="501" t="s">
        <v>1109</v>
      </c>
      <c r="B122" s="453">
        <v>1</v>
      </c>
      <c r="C122" s="497">
        <v>1460</v>
      </c>
      <c r="D122" s="30">
        <v>12</v>
      </c>
      <c r="E122" s="32">
        <v>49017.24</v>
      </c>
      <c r="F122" s="455" t="s">
        <v>1039</v>
      </c>
      <c r="G122" s="34">
        <f t="shared" si="11"/>
        <v>49017.24</v>
      </c>
      <c r="H122" s="34">
        <f t="shared" si="12"/>
        <v>900</v>
      </c>
      <c r="I122" s="34">
        <f t="shared" si="13"/>
        <v>3000</v>
      </c>
      <c r="J122" s="34"/>
      <c r="K122" s="34">
        <f t="shared" si="14"/>
        <v>13999.920000000002</v>
      </c>
      <c r="L122" s="33"/>
      <c r="M122" s="34"/>
      <c r="N122" s="34"/>
      <c r="O122" s="34"/>
      <c r="P122" s="34"/>
      <c r="Q122" s="34"/>
      <c r="R122" s="34">
        <f t="shared" si="8"/>
        <v>13597.32</v>
      </c>
      <c r="S122" s="34">
        <f t="shared" si="9"/>
        <v>49017.24</v>
      </c>
      <c r="T122" s="34">
        <f t="shared" si="15"/>
        <v>49017.24</v>
      </c>
      <c r="U122" s="34"/>
      <c r="V122" s="34"/>
      <c r="W122" s="34"/>
      <c r="X122" s="34"/>
      <c r="Y122" s="34"/>
      <c r="Z122" s="34"/>
    </row>
    <row r="123" spans="1:26">
      <c r="A123" s="501" t="s">
        <v>1110</v>
      </c>
      <c r="B123" s="453">
        <v>1</v>
      </c>
      <c r="C123" s="497">
        <v>1302</v>
      </c>
      <c r="D123" s="30">
        <v>12</v>
      </c>
      <c r="E123" s="32">
        <v>47121.24</v>
      </c>
      <c r="F123" s="455" t="s">
        <v>1039</v>
      </c>
      <c r="G123" s="34">
        <f t="shared" si="11"/>
        <v>47121.24</v>
      </c>
      <c r="H123" s="34">
        <f t="shared" si="12"/>
        <v>900</v>
      </c>
      <c r="I123" s="34">
        <f t="shared" si="13"/>
        <v>3000</v>
      </c>
      <c r="J123" s="34"/>
      <c r="K123" s="34">
        <f t="shared" si="14"/>
        <v>13999.920000000002</v>
      </c>
      <c r="L123" s="33"/>
      <c r="M123" s="34"/>
      <c r="N123" s="34"/>
      <c r="O123" s="34"/>
      <c r="P123" s="34"/>
      <c r="Q123" s="34"/>
      <c r="R123" s="34">
        <f t="shared" si="8"/>
        <v>13597.32</v>
      </c>
      <c r="S123" s="34">
        <f t="shared" si="9"/>
        <v>47121.24</v>
      </c>
      <c r="T123" s="34">
        <f t="shared" si="15"/>
        <v>47121.24</v>
      </c>
      <c r="U123" s="34"/>
      <c r="V123" s="34"/>
      <c r="W123" s="34"/>
      <c r="X123" s="34"/>
      <c r="Y123" s="34"/>
      <c r="Z123" s="34"/>
    </row>
    <row r="124" spans="1:26">
      <c r="A124" s="501" t="s">
        <v>1108</v>
      </c>
      <c r="B124" s="453">
        <v>1</v>
      </c>
      <c r="C124" s="497">
        <v>1302</v>
      </c>
      <c r="D124" s="30">
        <v>12</v>
      </c>
      <c r="E124" s="32">
        <v>46641.24</v>
      </c>
      <c r="F124" s="455" t="s">
        <v>1039</v>
      </c>
      <c r="G124" s="34">
        <f t="shared" si="11"/>
        <v>46641.24</v>
      </c>
      <c r="H124" s="34">
        <f t="shared" si="12"/>
        <v>900</v>
      </c>
      <c r="I124" s="34">
        <f t="shared" si="13"/>
        <v>3000</v>
      </c>
      <c r="J124" s="34"/>
      <c r="K124" s="34">
        <f t="shared" si="14"/>
        <v>13999.920000000002</v>
      </c>
      <c r="L124" s="33"/>
      <c r="M124" s="34"/>
      <c r="N124" s="34"/>
      <c r="O124" s="34"/>
      <c r="P124" s="34"/>
      <c r="Q124" s="34"/>
      <c r="R124" s="34">
        <f t="shared" si="8"/>
        <v>13597.32</v>
      </c>
      <c r="S124" s="34">
        <f t="shared" si="9"/>
        <v>46641.24</v>
      </c>
      <c r="T124" s="34">
        <f t="shared" si="15"/>
        <v>46641.24</v>
      </c>
      <c r="U124" s="34"/>
      <c r="V124" s="34"/>
      <c r="W124" s="34"/>
      <c r="X124" s="34"/>
      <c r="Y124" s="34"/>
      <c r="Z124" s="34"/>
    </row>
    <row r="125" spans="1:26">
      <c r="A125" s="501" t="s">
        <v>186</v>
      </c>
      <c r="B125" s="453">
        <v>9</v>
      </c>
      <c r="C125" s="502">
        <v>1192</v>
      </c>
      <c r="D125" s="30">
        <v>12</v>
      </c>
      <c r="E125" s="32">
        <v>409511.16000000003</v>
      </c>
      <c r="F125" s="455" t="s">
        <v>1039</v>
      </c>
      <c r="G125" s="34">
        <f t="shared" si="11"/>
        <v>409511.16000000003</v>
      </c>
      <c r="H125" s="34">
        <f t="shared" si="12"/>
        <v>8100</v>
      </c>
      <c r="I125" s="34">
        <f t="shared" si="13"/>
        <v>27000</v>
      </c>
      <c r="J125" s="34"/>
      <c r="K125" s="34">
        <f t="shared" si="14"/>
        <v>125999.28000000001</v>
      </c>
      <c r="L125" s="33"/>
      <c r="M125" s="34"/>
      <c r="N125" s="34"/>
      <c r="O125" s="34"/>
      <c r="P125" s="34"/>
      <c r="Q125" s="34"/>
      <c r="R125" s="34">
        <f t="shared" si="8"/>
        <v>122375.88</v>
      </c>
      <c r="S125" s="34">
        <f t="shared" si="9"/>
        <v>409511.16000000003</v>
      </c>
      <c r="T125" s="34">
        <f t="shared" si="15"/>
        <v>409511.16000000003</v>
      </c>
      <c r="U125" s="34"/>
      <c r="V125" s="34"/>
      <c r="W125" s="34"/>
      <c r="X125" s="34"/>
      <c r="Y125" s="34"/>
      <c r="Z125" s="34"/>
    </row>
    <row r="126" spans="1:26">
      <c r="A126" s="501" t="s">
        <v>1111</v>
      </c>
      <c r="B126" s="453">
        <v>1</v>
      </c>
      <c r="C126" s="497">
        <v>1192</v>
      </c>
      <c r="D126" s="30">
        <v>12</v>
      </c>
      <c r="E126" s="32">
        <v>45801.24</v>
      </c>
      <c r="F126" s="455" t="s">
        <v>1039</v>
      </c>
      <c r="G126" s="34">
        <f t="shared" si="11"/>
        <v>45801.24</v>
      </c>
      <c r="H126" s="34">
        <f t="shared" si="12"/>
        <v>900</v>
      </c>
      <c r="I126" s="34">
        <f t="shared" si="13"/>
        <v>3000</v>
      </c>
      <c r="J126" s="34"/>
      <c r="K126" s="34">
        <f t="shared" si="14"/>
        <v>13999.920000000002</v>
      </c>
      <c r="L126" s="33"/>
      <c r="M126" s="34"/>
      <c r="N126" s="34"/>
      <c r="O126" s="34"/>
      <c r="P126" s="34"/>
      <c r="Q126" s="34"/>
      <c r="R126" s="34">
        <f t="shared" si="8"/>
        <v>13597.32</v>
      </c>
      <c r="S126" s="34">
        <f t="shared" si="9"/>
        <v>45801.24</v>
      </c>
      <c r="T126" s="34">
        <f t="shared" si="15"/>
        <v>45801.24</v>
      </c>
      <c r="U126" s="34"/>
      <c r="V126" s="34"/>
      <c r="W126" s="34"/>
      <c r="X126" s="34"/>
      <c r="Y126" s="34"/>
      <c r="Z126" s="34"/>
    </row>
    <row r="127" spans="1:26" ht="29.25" customHeight="1">
      <c r="A127" s="503" t="s">
        <v>1112</v>
      </c>
      <c r="B127" s="453">
        <v>6</v>
      </c>
      <c r="C127" s="497">
        <v>1105</v>
      </c>
      <c r="D127" s="30">
        <v>12</v>
      </c>
      <c r="E127" s="32">
        <v>268543.44</v>
      </c>
      <c r="F127" s="455" t="s">
        <v>1039</v>
      </c>
      <c r="G127" s="34">
        <f t="shared" si="11"/>
        <v>268543.44</v>
      </c>
      <c r="H127" s="34">
        <f t="shared" si="12"/>
        <v>5400</v>
      </c>
      <c r="I127" s="34">
        <f t="shared" si="13"/>
        <v>18000</v>
      </c>
      <c r="J127" s="34"/>
      <c r="K127" s="34">
        <f t="shared" si="14"/>
        <v>83999.520000000019</v>
      </c>
      <c r="L127" s="33"/>
      <c r="M127" s="34"/>
      <c r="N127" s="34"/>
      <c r="O127" s="34"/>
      <c r="P127" s="34"/>
      <c r="Q127" s="34"/>
      <c r="R127" s="34">
        <f t="shared" si="8"/>
        <v>81583.92</v>
      </c>
      <c r="S127" s="34">
        <f t="shared" si="9"/>
        <v>268543.44</v>
      </c>
      <c r="T127" s="34">
        <f t="shared" si="15"/>
        <v>268543.44</v>
      </c>
      <c r="U127" s="34"/>
      <c r="V127" s="34"/>
      <c r="W127" s="34"/>
      <c r="X127" s="34"/>
      <c r="Y127" s="34"/>
      <c r="Z127" s="34"/>
    </row>
    <row r="128" spans="1:26" ht="29.25" customHeight="1">
      <c r="A128" s="501" t="s">
        <v>1113</v>
      </c>
      <c r="B128" s="453">
        <v>2</v>
      </c>
      <c r="C128" s="497">
        <v>1192</v>
      </c>
      <c r="D128" s="30">
        <v>12</v>
      </c>
      <c r="E128" s="32">
        <v>91002.48</v>
      </c>
      <c r="F128" s="455" t="s">
        <v>1039</v>
      </c>
      <c r="G128" s="34">
        <f t="shared" si="11"/>
        <v>91002.48</v>
      </c>
      <c r="H128" s="34">
        <f t="shared" si="12"/>
        <v>1800</v>
      </c>
      <c r="I128" s="34">
        <f t="shared" si="13"/>
        <v>6000</v>
      </c>
      <c r="J128" s="34"/>
      <c r="K128" s="34">
        <f t="shared" si="14"/>
        <v>27999.840000000004</v>
      </c>
      <c r="L128" s="33"/>
      <c r="M128" s="34"/>
      <c r="N128" s="34"/>
      <c r="O128" s="34"/>
      <c r="P128" s="34"/>
      <c r="Q128" s="34"/>
      <c r="R128" s="34">
        <f t="shared" si="8"/>
        <v>27194.639999999999</v>
      </c>
      <c r="S128" s="34">
        <f t="shared" si="9"/>
        <v>91002.48</v>
      </c>
      <c r="T128" s="34">
        <f t="shared" si="15"/>
        <v>91002.48</v>
      </c>
      <c r="U128" s="34"/>
      <c r="V128" s="34"/>
      <c r="W128" s="34"/>
      <c r="X128" s="34"/>
      <c r="Y128" s="34"/>
      <c r="Z128" s="34"/>
    </row>
    <row r="129" spans="1:26" ht="29.25" customHeight="1">
      <c r="A129" s="503" t="s">
        <v>1058</v>
      </c>
      <c r="B129" s="453">
        <v>2</v>
      </c>
      <c r="C129" s="497">
        <v>1246</v>
      </c>
      <c r="D129" s="30">
        <v>12</v>
      </c>
      <c r="E129" s="32">
        <v>92298.48</v>
      </c>
      <c r="F129" s="455" t="s">
        <v>1039</v>
      </c>
      <c r="G129" s="34">
        <f t="shared" si="11"/>
        <v>92298.48</v>
      </c>
      <c r="H129" s="34">
        <f t="shared" si="12"/>
        <v>1800</v>
      </c>
      <c r="I129" s="34">
        <f t="shared" si="13"/>
        <v>6000</v>
      </c>
      <c r="J129" s="34"/>
      <c r="K129" s="34">
        <f t="shared" si="14"/>
        <v>27999.840000000004</v>
      </c>
      <c r="L129" s="33"/>
      <c r="M129" s="34"/>
      <c r="N129" s="34"/>
      <c r="O129" s="34"/>
      <c r="P129" s="34"/>
      <c r="Q129" s="34"/>
      <c r="R129" s="34">
        <f t="shared" si="8"/>
        <v>27194.639999999999</v>
      </c>
      <c r="S129" s="34">
        <f t="shared" si="9"/>
        <v>92298.48</v>
      </c>
      <c r="T129" s="34">
        <f t="shared" si="15"/>
        <v>92298.48</v>
      </c>
      <c r="U129" s="34"/>
      <c r="V129" s="34"/>
      <c r="W129" s="34"/>
      <c r="X129" s="34"/>
      <c r="Y129" s="34"/>
      <c r="Z129" s="34"/>
    </row>
    <row r="130" spans="1:26" ht="29.25" customHeight="1">
      <c r="A130" s="503" t="s">
        <v>1114</v>
      </c>
      <c r="B130" s="453">
        <v>1</v>
      </c>
      <c r="C130" s="497">
        <v>1135</v>
      </c>
      <c r="D130" s="30">
        <v>12</v>
      </c>
      <c r="E130" s="32">
        <v>45117.24</v>
      </c>
      <c r="F130" s="455" t="s">
        <v>1039</v>
      </c>
      <c r="G130" s="34">
        <f t="shared" si="11"/>
        <v>45117.24</v>
      </c>
      <c r="H130" s="34">
        <f t="shared" si="12"/>
        <v>900</v>
      </c>
      <c r="I130" s="34">
        <f t="shared" si="13"/>
        <v>3000</v>
      </c>
      <c r="J130" s="34"/>
      <c r="K130" s="34">
        <f t="shared" si="14"/>
        <v>13999.920000000002</v>
      </c>
      <c r="L130" s="33"/>
      <c r="M130" s="34"/>
      <c r="N130" s="34"/>
      <c r="O130" s="34"/>
      <c r="P130" s="34"/>
      <c r="Q130" s="34"/>
      <c r="R130" s="34">
        <f t="shared" si="8"/>
        <v>13597.32</v>
      </c>
      <c r="S130" s="34">
        <f t="shared" si="9"/>
        <v>45117.24</v>
      </c>
      <c r="T130" s="34">
        <f t="shared" si="15"/>
        <v>45117.24</v>
      </c>
      <c r="U130" s="34"/>
      <c r="V130" s="34"/>
      <c r="W130" s="34"/>
      <c r="X130" s="34"/>
      <c r="Y130" s="34"/>
      <c r="Z130" s="34"/>
    </row>
    <row r="131" spans="1:26" ht="29.25" customHeight="1">
      <c r="A131" s="503" t="s">
        <v>1115</v>
      </c>
      <c r="B131" s="453">
        <v>1</v>
      </c>
      <c r="C131" s="497">
        <v>1105</v>
      </c>
      <c r="D131" s="30">
        <v>12</v>
      </c>
      <c r="E131" s="32">
        <v>44457.24</v>
      </c>
      <c r="F131" s="455" t="s">
        <v>1039</v>
      </c>
      <c r="G131" s="34">
        <f t="shared" si="11"/>
        <v>44457.24</v>
      </c>
      <c r="H131" s="34">
        <f t="shared" si="12"/>
        <v>900</v>
      </c>
      <c r="I131" s="34">
        <f t="shared" si="13"/>
        <v>3000</v>
      </c>
      <c r="J131" s="34"/>
      <c r="K131" s="34">
        <f t="shared" si="14"/>
        <v>13999.920000000002</v>
      </c>
      <c r="L131" s="33"/>
      <c r="M131" s="34"/>
      <c r="N131" s="34"/>
      <c r="O131" s="34"/>
      <c r="P131" s="34"/>
      <c r="Q131" s="34"/>
      <c r="R131" s="34">
        <f t="shared" si="8"/>
        <v>13597.32</v>
      </c>
      <c r="S131" s="34">
        <f t="shared" si="9"/>
        <v>44457.24</v>
      </c>
      <c r="T131" s="34">
        <f t="shared" si="15"/>
        <v>44457.24</v>
      </c>
      <c r="U131" s="34"/>
      <c r="V131" s="34"/>
      <c r="W131" s="34"/>
      <c r="X131" s="34"/>
      <c r="Y131" s="34"/>
      <c r="Z131" s="34"/>
    </row>
    <row r="132" spans="1:26" ht="29.25" customHeight="1">
      <c r="A132" s="503" t="s">
        <v>1061</v>
      </c>
      <c r="B132" s="453">
        <v>1</v>
      </c>
      <c r="C132" s="497">
        <v>1168</v>
      </c>
      <c r="D132" s="30">
        <v>12</v>
      </c>
      <c r="E132" s="32">
        <v>45513.24</v>
      </c>
      <c r="F132" s="455" t="s">
        <v>1039</v>
      </c>
      <c r="G132" s="34">
        <f t="shared" si="11"/>
        <v>45513.24</v>
      </c>
      <c r="H132" s="34">
        <f t="shared" si="12"/>
        <v>900</v>
      </c>
      <c r="I132" s="34">
        <f t="shared" si="13"/>
        <v>3000</v>
      </c>
      <c r="J132" s="34"/>
      <c r="K132" s="34">
        <f t="shared" si="14"/>
        <v>13999.920000000002</v>
      </c>
      <c r="L132" s="33"/>
      <c r="M132" s="34"/>
      <c r="N132" s="34"/>
      <c r="O132" s="34"/>
      <c r="P132" s="34"/>
      <c r="Q132" s="34"/>
      <c r="R132" s="34">
        <f t="shared" si="8"/>
        <v>13597.32</v>
      </c>
      <c r="S132" s="34">
        <f t="shared" si="9"/>
        <v>45513.24</v>
      </c>
      <c r="T132" s="34">
        <f t="shared" si="15"/>
        <v>45513.24</v>
      </c>
      <c r="U132" s="34"/>
      <c r="V132" s="34"/>
      <c r="W132" s="34"/>
      <c r="X132" s="34"/>
      <c r="Y132" s="34"/>
      <c r="Z132" s="34"/>
    </row>
    <row r="133" spans="1:26" ht="29.25" customHeight="1">
      <c r="A133" s="503" t="s">
        <v>1116</v>
      </c>
      <c r="B133" s="453">
        <v>1</v>
      </c>
      <c r="C133" s="497">
        <v>1074</v>
      </c>
      <c r="D133" s="30">
        <v>12</v>
      </c>
      <c r="E133" s="32">
        <v>44385.24</v>
      </c>
      <c r="F133" s="455" t="s">
        <v>1039</v>
      </c>
      <c r="G133" s="34">
        <f t="shared" si="11"/>
        <v>44385.24</v>
      </c>
      <c r="H133" s="34">
        <f t="shared" si="12"/>
        <v>900</v>
      </c>
      <c r="I133" s="34">
        <f t="shared" si="13"/>
        <v>3000</v>
      </c>
      <c r="J133" s="34"/>
      <c r="K133" s="34">
        <f t="shared" si="14"/>
        <v>13999.920000000002</v>
      </c>
      <c r="L133" s="33"/>
      <c r="M133" s="34"/>
      <c r="N133" s="34"/>
      <c r="O133" s="34"/>
      <c r="P133" s="34"/>
      <c r="Q133" s="34"/>
      <c r="R133" s="34">
        <f t="shared" si="8"/>
        <v>13597.32</v>
      </c>
      <c r="S133" s="34">
        <f t="shared" si="9"/>
        <v>44385.24</v>
      </c>
      <c r="T133" s="34">
        <f t="shared" si="15"/>
        <v>44385.24</v>
      </c>
      <c r="U133" s="34"/>
      <c r="V133" s="34"/>
      <c r="W133" s="34"/>
      <c r="X133" s="34"/>
      <c r="Y133" s="34"/>
      <c r="Z133" s="34"/>
    </row>
    <row r="134" spans="1:26" ht="29.25" customHeight="1">
      <c r="A134" s="503" t="s">
        <v>1095</v>
      </c>
      <c r="B134" s="453">
        <v>2</v>
      </c>
      <c r="C134" s="497">
        <v>1302</v>
      </c>
      <c r="D134" s="30">
        <v>12</v>
      </c>
      <c r="E134" s="32">
        <v>94242.48</v>
      </c>
      <c r="F134" s="455" t="s">
        <v>1039</v>
      </c>
      <c r="G134" s="34">
        <f t="shared" si="11"/>
        <v>94242.48</v>
      </c>
      <c r="H134" s="34">
        <f t="shared" si="12"/>
        <v>1800</v>
      </c>
      <c r="I134" s="34">
        <f t="shared" si="13"/>
        <v>6000</v>
      </c>
      <c r="J134" s="34"/>
      <c r="K134" s="34">
        <f t="shared" si="14"/>
        <v>27999.840000000004</v>
      </c>
      <c r="L134" s="33"/>
      <c r="M134" s="34"/>
      <c r="N134" s="34"/>
      <c r="O134" s="34"/>
      <c r="P134" s="34"/>
      <c r="Q134" s="34"/>
      <c r="R134" s="34">
        <f t="shared" si="8"/>
        <v>27194.639999999999</v>
      </c>
      <c r="S134" s="34">
        <f t="shared" si="9"/>
        <v>94242.48</v>
      </c>
      <c r="T134" s="34">
        <f t="shared" si="15"/>
        <v>94242.48</v>
      </c>
      <c r="U134" s="34"/>
      <c r="V134" s="34"/>
      <c r="W134" s="34"/>
      <c r="X134" s="34"/>
      <c r="Y134" s="34"/>
      <c r="Z134" s="34"/>
    </row>
    <row r="135" spans="1:26" ht="29.25" customHeight="1">
      <c r="A135" s="503" t="s">
        <v>1117</v>
      </c>
      <c r="B135" s="453">
        <v>1</v>
      </c>
      <c r="C135" s="497">
        <v>1105</v>
      </c>
      <c r="D135" s="30">
        <v>12</v>
      </c>
      <c r="E135" s="32">
        <v>44757.24</v>
      </c>
      <c r="F135" s="455" t="s">
        <v>1039</v>
      </c>
      <c r="G135" s="34">
        <f t="shared" si="11"/>
        <v>44757.24</v>
      </c>
      <c r="H135" s="34">
        <f t="shared" si="12"/>
        <v>900</v>
      </c>
      <c r="I135" s="34">
        <f t="shared" si="13"/>
        <v>3000</v>
      </c>
      <c r="J135" s="34"/>
      <c r="K135" s="34">
        <f t="shared" si="14"/>
        <v>13999.920000000002</v>
      </c>
      <c r="L135" s="33"/>
      <c r="M135" s="34"/>
      <c r="N135" s="34"/>
      <c r="O135" s="34"/>
      <c r="P135" s="34"/>
      <c r="Q135" s="34"/>
      <c r="R135" s="34">
        <f t="shared" ref="R135:R198" si="16">1133.11*12*B135</f>
        <v>13597.32</v>
      </c>
      <c r="S135" s="34">
        <f t="shared" ref="S135:S198" si="17">+E135</f>
        <v>44757.24</v>
      </c>
      <c r="T135" s="34">
        <f t="shared" si="15"/>
        <v>44757.24</v>
      </c>
      <c r="U135" s="34"/>
      <c r="V135" s="34"/>
      <c r="W135" s="34"/>
      <c r="X135" s="34"/>
      <c r="Y135" s="34"/>
      <c r="Z135" s="34"/>
    </row>
    <row r="136" spans="1:26" ht="29.25" customHeight="1">
      <c r="A136" s="503" t="s">
        <v>1041</v>
      </c>
      <c r="B136" s="453">
        <v>1</v>
      </c>
      <c r="C136" s="497">
        <v>1105</v>
      </c>
      <c r="D136" s="30">
        <v>12</v>
      </c>
      <c r="E136" s="32">
        <v>44757.24</v>
      </c>
      <c r="F136" s="455" t="s">
        <v>1039</v>
      </c>
      <c r="G136" s="34">
        <f t="shared" ref="G136:G199" si="18">+E136</f>
        <v>44757.24</v>
      </c>
      <c r="H136" s="34">
        <f t="shared" ref="H136:H199" si="19">75*B136*12</f>
        <v>900</v>
      </c>
      <c r="I136" s="34">
        <f t="shared" ref="I136:I199" si="20">250*B136*12</f>
        <v>3000</v>
      </c>
      <c r="J136" s="34"/>
      <c r="K136" s="34">
        <f t="shared" ref="K136:K199" si="21">1166.66*12*B136</f>
        <v>13999.920000000002</v>
      </c>
      <c r="L136" s="33"/>
      <c r="M136" s="34"/>
      <c r="N136" s="34"/>
      <c r="O136" s="34"/>
      <c r="P136" s="34"/>
      <c r="Q136" s="34"/>
      <c r="R136" s="34">
        <f t="shared" si="16"/>
        <v>13597.32</v>
      </c>
      <c r="S136" s="34">
        <f t="shared" si="17"/>
        <v>44757.24</v>
      </c>
      <c r="T136" s="34">
        <f t="shared" ref="T136:T199" si="22">+S136</f>
        <v>44757.24</v>
      </c>
      <c r="U136" s="34"/>
      <c r="V136" s="34"/>
      <c r="W136" s="34"/>
      <c r="X136" s="34"/>
      <c r="Y136" s="34"/>
      <c r="Z136" s="34"/>
    </row>
    <row r="137" spans="1:26" ht="29.25" customHeight="1">
      <c r="A137" s="503" t="s">
        <v>1091</v>
      </c>
      <c r="B137" s="453">
        <v>1</v>
      </c>
      <c r="C137" s="497">
        <v>1074</v>
      </c>
      <c r="D137" s="30">
        <v>12</v>
      </c>
      <c r="E137" s="32">
        <v>44385.24</v>
      </c>
      <c r="F137" s="455" t="s">
        <v>1039</v>
      </c>
      <c r="G137" s="34">
        <f t="shared" si="18"/>
        <v>44385.24</v>
      </c>
      <c r="H137" s="34">
        <f t="shared" si="19"/>
        <v>900</v>
      </c>
      <c r="I137" s="34">
        <f t="shared" si="20"/>
        <v>3000</v>
      </c>
      <c r="J137" s="34"/>
      <c r="K137" s="34">
        <f t="shared" si="21"/>
        <v>13999.920000000002</v>
      </c>
      <c r="L137" s="33"/>
      <c r="M137" s="34"/>
      <c r="N137" s="34"/>
      <c r="O137" s="34"/>
      <c r="P137" s="34"/>
      <c r="Q137" s="34"/>
      <c r="R137" s="34">
        <f t="shared" si="16"/>
        <v>13597.32</v>
      </c>
      <c r="S137" s="34">
        <f t="shared" si="17"/>
        <v>44385.24</v>
      </c>
      <c r="T137" s="34">
        <f t="shared" si="22"/>
        <v>44385.24</v>
      </c>
      <c r="U137" s="34"/>
      <c r="V137" s="34"/>
      <c r="W137" s="34"/>
      <c r="X137" s="34"/>
      <c r="Y137" s="34"/>
      <c r="Z137" s="34"/>
    </row>
    <row r="138" spans="1:26" ht="29.25" customHeight="1">
      <c r="A138" s="503" t="s">
        <v>1040</v>
      </c>
      <c r="B138" s="453">
        <v>1</v>
      </c>
      <c r="C138" s="497">
        <v>1135</v>
      </c>
      <c r="D138" s="30">
        <v>12</v>
      </c>
      <c r="E138" s="32">
        <v>45117.24</v>
      </c>
      <c r="F138" s="455" t="s">
        <v>1039</v>
      </c>
      <c r="G138" s="34">
        <f t="shared" si="18"/>
        <v>45117.24</v>
      </c>
      <c r="H138" s="34">
        <f t="shared" si="19"/>
        <v>900</v>
      </c>
      <c r="I138" s="34">
        <f t="shared" si="20"/>
        <v>3000</v>
      </c>
      <c r="J138" s="34"/>
      <c r="K138" s="34">
        <f t="shared" si="21"/>
        <v>13999.920000000002</v>
      </c>
      <c r="L138" s="33"/>
      <c r="M138" s="34"/>
      <c r="N138" s="34"/>
      <c r="O138" s="34"/>
      <c r="P138" s="34"/>
      <c r="Q138" s="34"/>
      <c r="R138" s="34">
        <f t="shared" si="16"/>
        <v>13597.32</v>
      </c>
      <c r="S138" s="34">
        <f t="shared" si="17"/>
        <v>45117.24</v>
      </c>
      <c r="T138" s="34">
        <f t="shared" si="22"/>
        <v>45117.24</v>
      </c>
      <c r="U138" s="34"/>
      <c r="V138" s="34"/>
      <c r="W138" s="34"/>
      <c r="X138" s="34"/>
      <c r="Y138" s="34"/>
      <c r="Z138" s="34"/>
    </row>
    <row r="139" spans="1:26" ht="29.25" customHeight="1">
      <c r="A139" s="504" t="s">
        <v>190</v>
      </c>
      <c r="B139" s="505">
        <v>6</v>
      </c>
      <c r="C139" s="506">
        <v>1039</v>
      </c>
      <c r="D139" s="505">
        <v>12</v>
      </c>
      <c r="E139" s="507">
        <v>261991.44</v>
      </c>
      <c r="F139" s="455" t="s">
        <v>1039</v>
      </c>
      <c r="G139" s="34">
        <f t="shared" si="18"/>
        <v>261991.44</v>
      </c>
      <c r="H139" s="34">
        <f t="shared" si="19"/>
        <v>5400</v>
      </c>
      <c r="I139" s="34">
        <f t="shared" si="20"/>
        <v>18000</v>
      </c>
      <c r="J139" s="34"/>
      <c r="K139" s="34">
        <f t="shared" si="21"/>
        <v>83999.520000000019</v>
      </c>
      <c r="L139" s="33"/>
      <c r="M139" s="34"/>
      <c r="N139" s="34"/>
      <c r="O139" s="34"/>
      <c r="P139" s="34"/>
      <c r="Q139" s="34"/>
      <c r="R139" s="34">
        <f t="shared" si="16"/>
        <v>81583.92</v>
      </c>
      <c r="S139" s="34">
        <f t="shared" si="17"/>
        <v>261991.44</v>
      </c>
      <c r="T139" s="34">
        <f t="shared" si="22"/>
        <v>261991.44</v>
      </c>
      <c r="U139" s="34"/>
      <c r="V139" s="34"/>
      <c r="W139" s="34"/>
      <c r="X139" s="34"/>
      <c r="Y139" s="34"/>
      <c r="Z139" s="34"/>
    </row>
    <row r="140" spans="1:26" ht="29.25" customHeight="1">
      <c r="A140" s="508" t="s">
        <v>1118</v>
      </c>
      <c r="B140" s="509">
        <v>4</v>
      </c>
      <c r="C140" s="510">
        <v>1074</v>
      </c>
      <c r="D140" s="509">
        <v>12</v>
      </c>
      <c r="E140" s="511">
        <v>177540.96</v>
      </c>
      <c r="F140" s="455" t="s">
        <v>1039</v>
      </c>
      <c r="G140" s="34">
        <f t="shared" si="18"/>
        <v>177540.96</v>
      </c>
      <c r="H140" s="34">
        <f t="shared" si="19"/>
        <v>3600</v>
      </c>
      <c r="I140" s="34">
        <f t="shared" si="20"/>
        <v>12000</v>
      </c>
      <c r="J140" s="34"/>
      <c r="K140" s="34">
        <f t="shared" si="21"/>
        <v>55999.680000000008</v>
      </c>
      <c r="L140" s="33"/>
      <c r="M140" s="34"/>
      <c r="N140" s="34"/>
      <c r="O140" s="34"/>
      <c r="P140" s="34"/>
      <c r="Q140" s="34"/>
      <c r="R140" s="34">
        <f t="shared" si="16"/>
        <v>54389.279999999999</v>
      </c>
      <c r="S140" s="34">
        <f t="shared" si="17"/>
        <v>177540.96</v>
      </c>
      <c r="T140" s="34">
        <f t="shared" si="22"/>
        <v>177540.96</v>
      </c>
      <c r="U140" s="34"/>
      <c r="V140" s="34"/>
      <c r="W140" s="34"/>
      <c r="X140" s="34"/>
      <c r="Y140" s="34"/>
      <c r="Z140" s="34"/>
    </row>
    <row r="141" spans="1:26" ht="29.25" customHeight="1">
      <c r="A141" s="512" t="s">
        <v>1119</v>
      </c>
      <c r="B141" s="509">
        <v>1</v>
      </c>
      <c r="C141" s="513">
        <v>1105</v>
      </c>
      <c r="D141" s="509">
        <v>12</v>
      </c>
      <c r="E141" s="514">
        <v>44457.24</v>
      </c>
      <c r="F141" s="455" t="s">
        <v>1039</v>
      </c>
      <c r="G141" s="34">
        <f t="shared" si="18"/>
        <v>44457.24</v>
      </c>
      <c r="H141" s="34">
        <f t="shared" si="19"/>
        <v>900</v>
      </c>
      <c r="I141" s="34">
        <f t="shared" si="20"/>
        <v>3000</v>
      </c>
      <c r="J141" s="34"/>
      <c r="K141" s="34">
        <f t="shared" si="21"/>
        <v>13999.920000000002</v>
      </c>
      <c r="L141" s="33"/>
      <c r="M141" s="34"/>
      <c r="N141" s="34"/>
      <c r="O141" s="34"/>
      <c r="P141" s="34"/>
      <c r="Q141" s="34"/>
      <c r="R141" s="34">
        <f t="shared" si="16"/>
        <v>13597.32</v>
      </c>
      <c r="S141" s="34">
        <f t="shared" si="17"/>
        <v>44457.24</v>
      </c>
      <c r="T141" s="34">
        <f t="shared" si="22"/>
        <v>44457.24</v>
      </c>
      <c r="U141" s="34"/>
      <c r="V141" s="34"/>
      <c r="W141" s="34"/>
      <c r="X141" s="34"/>
      <c r="Y141" s="34"/>
      <c r="Z141" s="34"/>
    </row>
    <row r="142" spans="1:26" ht="29.25" customHeight="1">
      <c r="A142" s="508" t="s">
        <v>1120</v>
      </c>
      <c r="B142" s="509">
        <v>1</v>
      </c>
      <c r="C142" s="510">
        <v>1135</v>
      </c>
      <c r="D142" s="509">
        <v>12</v>
      </c>
      <c r="E142" s="511">
        <v>44817.24</v>
      </c>
      <c r="F142" s="455" t="s">
        <v>1039</v>
      </c>
      <c r="G142" s="34">
        <f t="shared" si="18"/>
        <v>44817.24</v>
      </c>
      <c r="H142" s="34">
        <f t="shared" si="19"/>
        <v>900</v>
      </c>
      <c r="I142" s="34">
        <f t="shared" si="20"/>
        <v>3000</v>
      </c>
      <c r="J142" s="34"/>
      <c r="K142" s="34">
        <f t="shared" si="21"/>
        <v>13999.920000000002</v>
      </c>
      <c r="L142" s="33"/>
      <c r="M142" s="34"/>
      <c r="N142" s="34"/>
      <c r="O142" s="34"/>
      <c r="P142" s="34"/>
      <c r="Q142" s="34"/>
      <c r="R142" s="34">
        <f t="shared" si="16"/>
        <v>13597.32</v>
      </c>
      <c r="S142" s="34">
        <f t="shared" si="17"/>
        <v>44817.24</v>
      </c>
      <c r="T142" s="34">
        <f t="shared" si="22"/>
        <v>44817.24</v>
      </c>
      <c r="U142" s="34"/>
      <c r="V142" s="34"/>
      <c r="W142" s="34"/>
      <c r="X142" s="34"/>
      <c r="Y142" s="34"/>
      <c r="Z142" s="34"/>
    </row>
    <row r="143" spans="1:26" ht="21.75" customHeight="1">
      <c r="A143" s="508" t="s">
        <v>1048</v>
      </c>
      <c r="B143" s="509">
        <v>1</v>
      </c>
      <c r="C143" s="510">
        <v>1991</v>
      </c>
      <c r="D143" s="509">
        <v>12</v>
      </c>
      <c r="E143" s="511">
        <v>55389.240000000005</v>
      </c>
      <c r="F143" s="455" t="s">
        <v>1039</v>
      </c>
      <c r="G143" s="34">
        <f t="shared" si="18"/>
        <v>55389.240000000005</v>
      </c>
      <c r="H143" s="34">
        <f t="shared" si="19"/>
        <v>900</v>
      </c>
      <c r="I143" s="34">
        <f t="shared" si="20"/>
        <v>3000</v>
      </c>
      <c r="J143" s="34"/>
      <c r="K143" s="34">
        <f t="shared" si="21"/>
        <v>13999.920000000002</v>
      </c>
      <c r="L143" s="33"/>
      <c r="M143" s="34"/>
      <c r="N143" s="34"/>
      <c r="O143" s="34"/>
      <c r="P143" s="34"/>
      <c r="Q143" s="34"/>
      <c r="R143" s="34">
        <f t="shared" si="16"/>
        <v>13597.32</v>
      </c>
      <c r="S143" s="34">
        <f t="shared" si="17"/>
        <v>55389.240000000005</v>
      </c>
      <c r="T143" s="34">
        <f t="shared" si="22"/>
        <v>55389.240000000005</v>
      </c>
      <c r="U143" s="34"/>
      <c r="V143" s="34"/>
      <c r="W143" s="34"/>
      <c r="X143" s="34"/>
      <c r="Y143" s="34"/>
      <c r="Z143" s="34"/>
    </row>
    <row r="144" spans="1:26" ht="21.75" customHeight="1">
      <c r="A144" s="512" t="s">
        <v>1059</v>
      </c>
      <c r="B144" s="509">
        <v>1</v>
      </c>
      <c r="C144" s="510">
        <v>1649</v>
      </c>
      <c r="D144" s="509">
        <v>12</v>
      </c>
      <c r="E144" s="511">
        <v>51285.240000000005</v>
      </c>
      <c r="F144" s="455" t="s">
        <v>1039</v>
      </c>
      <c r="G144" s="34">
        <f t="shared" si="18"/>
        <v>51285.240000000005</v>
      </c>
      <c r="H144" s="34">
        <f t="shared" si="19"/>
        <v>900</v>
      </c>
      <c r="I144" s="34">
        <f t="shared" si="20"/>
        <v>3000</v>
      </c>
      <c r="J144" s="34"/>
      <c r="K144" s="34">
        <f t="shared" si="21"/>
        <v>13999.920000000002</v>
      </c>
      <c r="L144" s="33"/>
      <c r="M144" s="34"/>
      <c r="N144" s="34"/>
      <c r="O144" s="34"/>
      <c r="P144" s="34"/>
      <c r="Q144" s="34"/>
      <c r="R144" s="34">
        <f t="shared" si="16"/>
        <v>13597.32</v>
      </c>
      <c r="S144" s="34">
        <f t="shared" si="17"/>
        <v>51285.240000000005</v>
      </c>
      <c r="T144" s="34">
        <f t="shared" si="22"/>
        <v>51285.240000000005</v>
      </c>
      <c r="U144" s="34"/>
      <c r="V144" s="34"/>
      <c r="W144" s="34"/>
      <c r="X144" s="34"/>
      <c r="Y144" s="34"/>
      <c r="Z144" s="34"/>
    </row>
    <row r="145" spans="1:26" ht="21.75" customHeight="1">
      <c r="A145" s="508" t="s">
        <v>1121</v>
      </c>
      <c r="B145" s="509">
        <v>1</v>
      </c>
      <c r="C145" s="510">
        <v>1128</v>
      </c>
      <c r="D145" s="509">
        <v>12</v>
      </c>
      <c r="E145" s="511">
        <v>44733.24</v>
      </c>
      <c r="F145" s="455" t="s">
        <v>1039</v>
      </c>
      <c r="G145" s="34">
        <f t="shared" si="18"/>
        <v>44733.24</v>
      </c>
      <c r="H145" s="34">
        <f t="shared" si="19"/>
        <v>900</v>
      </c>
      <c r="I145" s="34">
        <f t="shared" si="20"/>
        <v>3000</v>
      </c>
      <c r="J145" s="34"/>
      <c r="K145" s="34">
        <f t="shared" si="21"/>
        <v>13999.920000000002</v>
      </c>
      <c r="L145" s="33"/>
      <c r="M145" s="34"/>
      <c r="N145" s="34"/>
      <c r="O145" s="34"/>
      <c r="P145" s="34"/>
      <c r="Q145" s="34"/>
      <c r="R145" s="34">
        <f t="shared" si="16"/>
        <v>13597.32</v>
      </c>
      <c r="S145" s="34">
        <f t="shared" si="17"/>
        <v>44733.24</v>
      </c>
      <c r="T145" s="34">
        <f t="shared" si="22"/>
        <v>44733.24</v>
      </c>
      <c r="U145" s="34"/>
      <c r="V145" s="34"/>
      <c r="W145" s="34"/>
      <c r="X145" s="34"/>
      <c r="Y145" s="34"/>
      <c r="Z145" s="34"/>
    </row>
    <row r="146" spans="1:26" ht="21.75" customHeight="1">
      <c r="A146" s="512" t="s">
        <v>1114</v>
      </c>
      <c r="B146" s="509">
        <v>1</v>
      </c>
      <c r="C146" s="513">
        <v>1135</v>
      </c>
      <c r="D146" s="509">
        <v>12</v>
      </c>
      <c r="E146" s="514">
        <v>45117.24</v>
      </c>
      <c r="F146" s="455" t="s">
        <v>1039</v>
      </c>
      <c r="G146" s="34">
        <f t="shared" si="18"/>
        <v>45117.24</v>
      </c>
      <c r="H146" s="34">
        <f t="shared" si="19"/>
        <v>900</v>
      </c>
      <c r="I146" s="34">
        <f t="shared" si="20"/>
        <v>3000</v>
      </c>
      <c r="J146" s="34"/>
      <c r="K146" s="34">
        <f t="shared" si="21"/>
        <v>13999.920000000002</v>
      </c>
      <c r="L146" s="33"/>
      <c r="M146" s="34"/>
      <c r="N146" s="34"/>
      <c r="O146" s="34"/>
      <c r="P146" s="34"/>
      <c r="Q146" s="34"/>
      <c r="R146" s="34">
        <f t="shared" si="16"/>
        <v>13597.32</v>
      </c>
      <c r="S146" s="34">
        <f t="shared" si="17"/>
        <v>45117.24</v>
      </c>
      <c r="T146" s="34">
        <f t="shared" si="22"/>
        <v>45117.24</v>
      </c>
      <c r="U146" s="34"/>
      <c r="V146" s="34"/>
      <c r="W146" s="34"/>
      <c r="X146" s="34"/>
      <c r="Y146" s="34"/>
      <c r="Z146" s="34"/>
    </row>
    <row r="147" spans="1:26">
      <c r="A147" s="508" t="s">
        <v>1048</v>
      </c>
      <c r="B147" s="509">
        <v>1</v>
      </c>
      <c r="C147" s="510">
        <v>1991</v>
      </c>
      <c r="D147" s="509">
        <v>12</v>
      </c>
      <c r="E147" s="511">
        <v>55089.240000000005</v>
      </c>
      <c r="F147" s="455" t="s">
        <v>1039</v>
      </c>
      <c r="G147" s="34">
        <f t="shared" si="18"/>
        <v>55089.240000000005</v>
      </c>
      <c r="H147" s="34">
        <f t="shared" si="19"/>
        <v>900</v>
      </c>
      <c r="I147" s="34">
        <f t="shared" si="20"/>
        <v>3000</v>
      </c>
      <c r="J147" s="34"/>
      <c r="K147" s="34">
        <f t="shared" si="21"/>
        <v>13999.920000000002</v>
      </c>
      <c r="L147" s="33"/>
      <c r="M147" s="34"/>
      <c r="N147" s="34"/>
      <c r="O147" s="34"/>
      <c r="P147" s="34"/>
      <c r="Q147" s="34"/>
      <c r="R147" s="34">
        <f t="shared" si="16"/>
        <v>13597.32</v>
      </c>
      <c r="S147" s="34">
        <f t="shared" si="17"/>
        <v>55089.240000000005</v>
      </c>
      <c r="T147" s="34">
        <f t="shared" si="22"/>
        <v>55089.240000000005</v>
      </c>
      <c r="U147" s="34"/>
      <c r="V147" s="34"/>
      <c r="W147" s="34"/>
      <c r="X147" s="34"/>
      <c r="Y147" s="34"/>
      <c r="Z147" s="34"/>
    </row>
    <row r="148" spans="1:26">
      <c r="A148" s="508" t="s">
        <v>1068</v>
      </c>
      <c r="B148" s="509">
        <v>1</v>
      </c>
      <c r="C148" s="510">
        <v>1460</v>
      </c>
      <c r="D148" s="509">
        <v>12</v>
      </c>
      <c r="E148" s="511">
        <v>48537.24</v>
      </c>
      <c r="F148" s="455" t="s">
        <v>1039</v>
      </c>
      <c r="G148" s="34">
        <f t="shared" si="18"/>
        <v>48537.24</v>
      </c>
      <c r="H148" s="34">
        <f t="shared" si="19"/>
        <v>900</v>
      </c>
      <c r="I148" s="34">
        <f t="shared" si="20"/>
        <v>3000</v>
      </c>
      <c r="J148" s="34"/>
      <c r="K148" s="34">
        <f t="shared" si="21"/>
        <v>13999.920000000002</v>
      </c>
      <c r="L148" s="33"/>
      <c r="M148" s="34"/>
      <c r="N148" s="34"/>
      <c r="O148" s="34"/>
      <c r="P148" s="34"/>
      <c r="Q148" s="34"/>
      <c r="R148" s="34">
        <f t="shared" si="16"/>
        <v>13597.32</v>
      </c>
      <c r="S148" s="34">
        <f t="shared" si="17"/>
        <v>48537.24</v>
      </c>
      <c r="T148" s="34">
        <f t="shared" si="22"/>
        <v>48537.24</v>
      </c>
      <c r="U148" s="34"/>
      <c r="V148" s="34"/>
      <c r="W148" s="34"/>
      <c r="X148" s="34"/>
      <c r="Y148" s="34"/>
      <c r="Z148" s="34"/>
    </row>
    <row r="149" spans="1:26">
      <c r="A149" s="508" t="s">
        <v>1093</v>
      </c>
      <c r="B149" s="509">
        <v>1</v>
      </c>
      <c r="C149" s="510">
        <v>1831</v>
      </c>
      <c r="D149" s="509">
        <v>12</v>
      </c>
      <c r="E149" s="511">
        <v>53469.240000000005</v>
      </c>
      <c r="F149" s="455" t="s">
        <v>1039</v>
      </c>
      <c r="G149" s="34">
        <f t="shared" si="18"/>
        <v>53469.240000000005</v>
      </c>
      <c r="H149" s="34">
        <f t="shared" si="19"/>
        <v>900</v>
      </c>
      <c r="I149" s="34">
        <f t="shared" si="20"/>
        <v>3000</v>
      </c>
      <c r="J149" s="34"/>
      <c r="K149" s="34">
        <f t="shared" si="21"/>
        <v>13999.920000000002</v>
      </c>
      <c r="L149" s="33"/>
      <c r="M149" s="34"/>
      <c r="N149" s="34"/>
      <c r="O149" s="34"/>
      <c r="P149" s="34"/>
      <c r="Q149" s="34"/>
      <c r="R149" s="34">
        <f t="shared" si="16"/>
        <v>13597.32</v>
      </c>
      <c r="S149" s="34">
        <f t="shared" si="17"/>
        <v>53469.240000000005</v>
      </c>
      <c r="T149" s="34">
        <f t="shared" si="22"/>
        <v>53469.240000000005</v>
      </c>
      <c r="U149" s="34"/>
      <c r="V149" s="34"/>
      <c r="W149" s="34"/>
      <c r="X149" s="34"/>
      <c r="Y149" s="34"/>
      <c r="Z149" s="34"/>
    </row>
    <row r="150" spans="1:26">
      <c r="A150" s="508" t="s">
        <v>1122</v>
      </c>
      <c r="B150" s="509">
        <v>1</v>
      </c>
      <c r="C150" s="510">
        <v>1460</v>
      </c>
      <c r="D150" s="509">
        <v>12</v>
      </c>
      <c r="E150" s="511">
        <v>49017.24</v>
      </c>
      <c r="F150" s="455" t="s">
        <v>1039</v>
      </c>
      <c r="G150" s="34">
        <f t="shared" si="18"/>
        <v>49017.24</v>
      </c>
      <c r="H150" s="34">
        <f t="shared" si="19"/>
        <v>900</v>
      </c>
      <c r="I150" s="34">
        <f t="shared" si="20"/>
        <v>3000</v>
      </c>
      <c r="J150" s="34"/>
      <c r="K150" s="34">
        <f t="shared" si="21"/>
        <v>13999.920000000002</v>
      </c>
      <c r="L150" s="33"/>
      <c r="M150" s="34"/>
      <c r="N150" s="34"/>
      <c r="O150" s="34"/>
      <c r="P150" s="34"/>
      <c r="Q150" s="34"/>
      <c r="R150" s="34">
        <f t="shared" si="16"/>
        <v>13597.32</v>
      </c>
      <c r="S150" s="34">
        <f t="shared" si="17"/>
        <v>49017.24</v>
      </c>
      <c r="T150" s="34">
        <f t="shared" si="22"/>
        <v>49017.24</v>
      </c>
      <c r="U150" s="34"/>
      <c r="V150" s="34"/>
      <c r="W150" s="34"/>
      <c r="X150" s="34"/>
      <c r="Y150" s="34"/>
      <c r="Z150" s="34"/>
    </row>
    <row r="151" spans="1:26">
      <c r="A151" s="508" t="s">
        <v>1123</v>
      </c>
      <c r="B151" s="509">
        <v>1</v>
      </c>
      <c r="C151" s="510">
        <v>1381</v>
      </c>
      <c r="D151" s="509">
        <v>12</v>
      </c>
      <c r="E151" s="511">
        <v>48069.24</v>
      </c>
      <c r="F151" s="455" t="s">
        <v>1039</v>
      </c>
      <c r="G151" s="34">
        <f t="shared" si="18"/>
        <v>48069.24</v>
      </c>
      <c r="H151" s="34">
        <f t="shared" si="19"/>
        <v>900</v>
      </c>
      <c r="I151" s="34">
        <f t="shared" si="20"/>
        <v>3000</v>
      </c>
      <c r="J151" s="34"/>
      <c r="K151" s="34">
        <f t="shared" si="21"/>
        <v>13999.920000000002</v>
      </c>
      <c r="L151" s="33"/>
      <c r="M151" s="34"/>
      <c r="N151" s="34"/>
      <c r="O151" s="34"/>
      <c r="P151" s="34"/>
      <c r="Q151" s="34"/>
      <c r="R151" s="34">
        <f t="shared" si="16"/>
        <v>13597.32</v>
      </c>
      <c r="S151" s="34">
        <f t="shared" si="17"/>
        <v>48069.24</v>
      </c>
      <c r="T151" s="34">
        <f t="shared" si="22"/>
        <v>48069.24</v>
      </c>
      <c r="U151" s="34"/>
      <c r="V151" s="34"/>
      <c r="W151" s="34"/>
      <c r="X151" s="34"/>
      <c r="Y151" s="34"/>
      <c r="Z151" s="34"/>
    </row>
    <row r="152" spans="1:26">
      <c r="A152" s="508" t="s">
        <v>1124</v>
      </c>
      <c r="B152" s="509">
        <v>1</v>
      </c>
      <c r="C152" s="510">
        <v>1253</v>
      </c>
      <c r="D152" s="509">
        <v>12</v>
      </c>
      <c r="E152" s="511">
        <v>46533.24</v>
      </c>
      <c r="F152" s="455" t="s">
        <v>1039</v>
      </c>
      <c r="G152" s="34">
        <f t="shared" si="18"/>
        <v>46533.24</v>
      </c>
      <c r="H152" s="34">
        <f t="shared" si="19"/>
        <v>900</v>
      </c>
      <c r="I152" s="34">
        <f t="shared" si="20"/>
        <v>3000</v>
      </c>
      <c r="J152" s="34"/>
      <c r="K152" s="34">
        <f t="shared" si="21"/>
        <v>13999.920000000002</v>
      </c>
      <c r="L152" s="33"/>
      <c r="M152" s="34"/>
      <c r="N152" s="34"/>
      <c r="O152" s="34"/>
      <c r="P152" s="34"/>
      <c r="Q152" s="34"/>
      <c r="R152" s="34">
        <f t="shared" si="16"/>
        <v>13597.32</v>
      </c>
      <c r="S152" s="34">
        <f t="shared" si="17"/>
        <v>46533.24</v>
      </c>
      <c r="T152" s="34">
        <f t="shared" si="22"/>
        <v>46533.24</v>
      </c>
      <c r="U152" s="34"/>
      <c r="V152" s="34"/>
      <c r="W152" s="34"/>
      <c r="X152" s="34"/>
      <c r="Y152" s="34"/>
      <c r="Z152" s="34"/>
    </row>
    <row r="153" spans="1:26" ht="22.5">
      <c r="A153" s="512" t="s">
        <v>1125</v>
      </c>
      <c r="B153" s="509">
        <v>2</v>
      </c>
      <c r="C153" s="513">
        <v>1039</v>
      </c>
      <c r="D153" s="509">
        <v>12</v>
      </c>
      <c r="E153" s="514">
        <v>87930.48</v>
      </c>
      <c r="F153" s="455" t="s">
        <v>1039</v>
      </c>
      <c r="G153" s="34">
        <f t="shared" si="18"/>
        <v>87930.48</v>
      </c>
      <c r="H153" s="34">
        <f t="shared" si="19"/>
        <v>1800</v>
      </c>
      <c r="I153" s="34">
        <f t="shared" si="20"/>
        <v>6000</v>
      </c>
      <c r="J153" s="34"/>
      <c r="K153" s="34">
        <f t="shared" si="21"/>
        <v>27999.840000000004</v>
      </c>
      <c r="L153" s="33"/>
      <c r="M153" s="34"/>
      <c r="N153" s="34"/>
      <c r="O153" s="34"/>
      <c r="P153" s="34"/>
      <c r="Q153" s="34"/>
      <c r="R153" s="34">
        <f t="shared" si="16"/>
        <v>27194.639999999999</v>
      </c>
      <c r="S153" s="34">
        <f t="shared" si="17"/>
        <v>87930.48</v>
      </c>
      <c r="T153" s="34">
        <f t="shared" si="22"/>
        <v>87930.48</v>
      </c>
      <c r="U153" s="34"/>
      <c r="V153" s="34"/>
      <c r="W153" s="34"/>
      <c r="X153" s="34"/>
      <c r="Y153" s="34"/>
      <c r="Z153" s="34"/>
    </row>
    <row r="154" spans="1:26" ht="22.5">
      <c r="A154" s="512" t="s">
        <v>1126</v>
      </c>
      <c r="B154" s="509">
        <v>1</v>
      </c>
      <c r="C154" s="513">
        <v>1039</v>
      </c>
      <c r="D154" s="509">
        <v>12</v>
      </c>
      <c r="E154" s="514">
        <v>43665.24</v>
      </c>
      <c r="F154" s="455" t="s">
        <v>1039</v>
      </c>
      <c r="G154" s="34">
        <f t="shared" si="18"/>
        <v>43665.24</v>
      </c>
      <c r="H154" s="34">
        <f t="shared" si="19"/>
        <v>900</v>
      </c>
      <c r="I154" s="34">
        <f t="shared" si="20"/>
        <v>3000</v>
      </c>
      <c r="J154" s="34"/>
      <c r="K154" s="34">
        <f t="shared" si="21"/>
        <v>13999.920000000002</v>
      </c>
      <c r="L154" s="33"/>
      <c r="M154" s="34"/>
      <c r="N154" s="34"/>
      <c r="O154" s="34"/>
      <c r="P154" s="34"/>
      <c r="Q154" s="34"/>
      <c r="R154" s="34">
        <f t="shared" si="16"/>
        <v>13597.32</v>
      </c>
      <c r="S154" s="34">
        <f t="shared" si="17"/>
        <v>43665.24</v>
      </c>
      <c r="T154" s="34">
        <f t="shared" si="22"/>
        <v>43665.24</v>
      </c>
      <c r="U154" s="34"/>
      <c r="V154" s="34"/>
      <c r="W154" s="34"/>
      <c r="X154" s="34"/>
      <c r="Y154" s="34"/>
      <c r="Z154" s="34"/>
    </row>
    <row r="155" spans="1:26">
      <c r="A155" s="508" t="s">
        <v>1043</v>
      </c>
      <c r="B155" s="509">
        <v>1</v>
      </c>
      <c r="C155" s="510">
        <v>1575</v>
      </c>
      <c r="D155" s="509">
        <v>12</v>
      </c>
      <c r="E155" s="511">
        <v>50097.240000000005</v>
      </c>
      <c r="F155" s="455" t="s">
        <v>1039</v>
      </c>
      <c r="G155" s="34">
        <f t="shared" si="18"/>
        <v>50097.240000000005</v>
      </c>
      <c r="H155" s="34">
        <f t="shared" si="19"/>
        <v>900</v>
      </c>
      <c r="I155" s="34">
        <f t="shared" si="20"/>
        <v>3000</v>
      </c>
      <c r="J155" s="34"/>
      <c r="K155" s="34">
        <f t="shared" si="21"/>
        <v>13999.920000000002</v>
      </c>
      <c r="L155" s="33"/>
      <c r="M155" s="34"/>
      <c r="N155" s="34"/>
      <c r="O155" s="34"/>
      <c r="P155" s="34"/>
      <c r="Q155" s="34"/>
      <c r="R155" s="34">
        <f t="shared" si="16"/>
        <v>13597.32</v>
      </c>
      <c r="S155" s="34">
        <f t="shared" si="17"/>
        <v>50097.240000000005</v>
      </c>
      <c r="T155" s="34">
        <f t="shared" si="22"/>
        <v>50097.240000000005</v>
      </c>
      <c r="U155" s="34"/>
      <c r="V155" s="34"/>
      <c r="W155" s="34"/>
      <c r="X155" s="34"/>
      <c r="Y155" s="34"/>
      <c r="Z155" s="34"/>
    </row>
    <row r="156" spans="1:26">
      <c r="A156" s="508" t="s">
        <v>1127</v>
      </c>
      <c r="B156" s="509">
        <v>1</v>
      </c>
      <c r="C156" s="510">
        <v>2604</v>
      </c>
      <c r="D156" s="509">
        <v>12</v>
      </c>
      <c r="E156" s="511">
        <v>220581.48</v>
      </c>
      <c r="F156" s="455" t="s">
        <v>1039</v>
      </c>
      <c r="G156" s="34">
        <f t="shared" si="18"/>
        <v>220581.48</v>
      </c>
      <c r="H156" s="34">
        <f t="shared" si="19"/>
        <v>900</v>
      </c>
      <c r="I156" s="34">
        <f t="shared" si="20"/>
        <v>3000</v>
      </c>
      <c r="J156" s="34"/>
      <c r="K156" s="34">
        <f t="shared" si="21"/>
        <v>13999.920000000002</v>
      </c>
      <c r="L156" s="33"/>
      <c r="M156" s="34"/>
      <c r="N156" s="34"/>
      <c r="O156" s="34"/>
      <c r="P156" s="34"/>
      <c r="Q156" s="34"/>
      <c r="R156" s="34">
        <f t="shared" si="16"/>
        <v>13597.32</v>
      </c>
      <c r="S156" s="34">
        <f t="shared" si="17"/>
        <v>220581.48</v>
      </c>
      <c r="T156" s="34">
        <f t="shared" si="22"/>
        <v>220581.48</v>
      </c>
      <c r="U156" s="34"/>
      <c r="V156" s="34"/>
      <c r="W156" s="34"/>
      <c r="X156" s="34"/>
      <c r="Y156" s="34"/>
      <c r="Z156" s="34"/>
    </row>
    <row r="157" spans="1:26">
      <c r="A157" s="508" t="s">
        <v>1128</v>
      </c>
      <c r="B157" s="509">
        <v>1</v>
      </c>
      <c r="C157" s="510">
        <v>1302</v>
      </c>
      <c r="D157" s="509">
        <v>12</v>
      </c>
      <c r="E157" s="511">
        <v>43521.24</v>
      </c>
      <c r="F157" s="455" t="s">
        <v>1039</v>
      </c>
      <c r="G157" s="34">
        <f t="shared" si="18"/>
        <v>43521.24</v>
      </c>
      <c r="H157" s="34">
        <f t="shared" si="19"/>
        <v>900</v>
      </c>
      <c r="I157" s="34">
        <f t="shared" si="20"/>
        <v>3000</v>
      </c>
      <c r="J157" s="34"/>
      <c r="K157" s="34">
        <f t="shared" si="21"/>
        <v>13999.920000000002</v>
      </c>
      <c r="L157" s="33"/>
      <c r="M157" s="34"/>
      <c r="N157" s="34"/>
      <c r="O157" s="34"/>
      <c r="P157" s="34"/>
      <c r="Q157" s="34"/>
      <c r="R157" s="34">
        <f t="shared" si="16"/>
        <v>13597.32</v>
      </c>
      <c r="S157" s="34">
        <f t="shared" si="17"/>
        <v>43521.24</v>
      </c>
      <c r="T157" s="34">
        <f t="shared" si="22"/>
        <v>43521.24</v>
      </c>
      <c r="U157" s="34"/>
      <c r="V157" s="34"/>
      <c r="W157" s="34"/>
      <c r="X157" s="34"/>
      <c r="Y157" s="34"/>
      <c r="Z157" s="34"/>
    </row>
    <row r="158" spans="1:26">
      <c r="A158" s="515" t="s">
        <v>815</v>
      </c>
      <c r="B158" s="509">
        <v>3</v>
      </c>
      <c r="C158" s="510">
        <v>1253</v>
      </c>
      <c r="D158" s="509">
        <v>12</v>
      </c>
      <c r="E158" s="511">
        <v>139599.72</v>
      </c>
      <c r="F158" s="455" t="s">
        <v>1039</v>
      </c>
      <c r="G158" s="34">
        <f t="shared" si="18"/>
        <v>139599.72</v>
      </c>
      <c r="H158" s="34">
        <f t="shared" si="19"/>
        <v>2700</v>
      </c>
      <c r="I158" s="34">
        <f t="shared" si="20"/>
        <v>9000</v>
      </c>
      <c r="J158" s="34"/>
      <c r="K158" s="34">
        <f t="shared" si="21"/>
        <v>41999.760000000009</v>
      </c>
      <c r="L158" s="33"/>
      <c r="M158" s="34"/>
      <c r="N158" s="34"/>
      <c r="O158" s="34"/>
      <c r="P158" s="34"/>
      <c r="Q158" s="34"/>
      <c r="R158" s="34">
        <f t="shared" si="16"/>
        <v>40791.96</v>
      </c>
      <c r="S158" s="34">
        <f t="shared" si="17"/>
        <v>139599.72</v>
      </c>
      <c r="T158" s="34">
        <f t="shared" si="22"/>
        <v>139599.72</v>
      </c>
      <c r="U158" s="34"/>
      <c r="V158" s="34"/>
      <c r="W158" s="34"/>
      <c r="X158" s="34"/>
      <c r="Y158" s="34"/>
      <c r="Z158" s="34"/>
    </row>
    <row r="159" spans="1:26">
      <c r="A159" s="515" t="s">
        <v>1129</v>
      </c>
      <c r="B159" s="509">
        <v>3</v>
      </c>
      <c r="C159" s="510">
        <v>1246</v>
      </c>
      <c r="D159" s="509">
        <v>12</v>
      </c>
      <c r="E159" s="511">
        <v>138447.72</v>
      </c>
      <c r="F159" s="455" t="s">
        <v>1039</v>
      </c>
      <c r="G159" s="34">
        <f t="shared" si="18"/>
        <v>138447.72</v>
      </c>
      <c r="H159" s="34">
        <f t="shared" si="19"/>
        <v>2700</v>
      </c>
      <c r="I159" s="34">
        <f t="shared" si="20"/>
        <v>9000</v>
      </c>
      <c r="J159" s="34"/>
      <c r="K159" s="34">
        <f t="shared" si="21"/>
        <v>41999.760000000009</v>
      </c>
      <c r="L159" s="33"/>
      <c r="M159" s="34"/>
      <c r="N159" s="34"/>
      <c r="O159" s="34"/>
      <c r="P159" s="34"/>
      <c r="Q159" s="34"/>
      <c r="R159" s="34">
        <f t="shared" si="16"/>
        <v>40791.96</v>
      </c>
      <c r="S159" s="34">
        <f t="shared" si="17"/>
        <v>138447.72</v>
      </c>
      <c r="T159" s="34">
        <f t="shared" si="22"/>
        <v>138447.72</v>
      </c>
      <c r="U159" s="34"/>
      <c r="V159" s="34"/>
      <c r="W159" s="34"/>
      <c r="X159" s="34"/>
      <c r="Y159" s="34"/>
      <c r="Z159" s="34"/>
    </row>
    <row r="160" spans="1:26">
      <c r="A160" s="508" t="s">
        <v>1130</v>
      </c>
      <c r="B160" s="509">
        <v>2</v>
      </c>
      <c r="C160" s="510">
        <v>1074</v>
      </c>
      <c r="D160" s="509">
        <v>12</v>
      </c>
      <c r="E160" s="511">
        <v>88770.48</v>
      </c>
      <c r="F160" s="455" t="s">
        <v>1039</v>
      </c>
      <c r="G160" s="34">
        <f t="shared" si="18"/>
        <v>88770.48</v>
      </c>
      <c r="H160" s="34">
        <f t="shared" si="19"/>
        <v>1800</v>
      </c>
      <c r="I160" s="34">
        <f t="shared" si="20"/>
        <v>6000</v>
      </c>
      <c r="J160" s="34"/>
      <c r="K160" s="34">
        <f t="shared" si="21"/>
        <v>27999.840000000004</v>
      </c>
      <c r="L160" s="33"/>
      <c r="M160" s="34"/>
      <c r="N160" s="34"/>
      <c r="O160" s="34"/>
      <c r="P160" s="34"/>
      <c r="Q160" s="34"/>
      <c r="R160" s="34">
        <f t="shared" si="16"/>
        <v>27194.639999999999</v>
      </c>
      <c r="S160" s="34">
        <f t="shared" si="17"/>
        <v>88770.48</v>
      </c>
      <c r="T160" s="34">
        <f t="shared" si="22"/>
        <v>88770.48</v>
      </c>
      <c r="U160" s="34"/>
      <c r="V160" s="34"/>
      <c r="W160" s="34"/>
      <c r="X160" s="34"/>
      <c r="Y160" s="34"/>
      <c r="Z160" s="34"/>
    </row>
    <row r="161" spans="1:26" ht="22.5">
      <c r="A161" s="512" t="s">
        <v>1131</v>
      </c>
      <c r="B161" s="509">
        <v>1</v>
      </c>
      <c r="C161" s="513">
        <v>1105</v>
      </c>
      <c r="D161" s="509">
        <v>12</v>
      </c>
      <c r="E161" s="514">
        <v>44757.24</v>
      </c>
      <c r="F161" s="455" t="s">
        <v>1039</v>
      </c>
      <c r="G161" s="34">
        <f t="shared" si="18"/>
        <v>44757.24</v>
      </c>
      <c r="H161" s="34">
        <f t="shared" si="19"/>
        <v>900</v>
      </c>
      <c r="I161" s="34">
        <f t="shared" si="20"/>
        <v>3000</v>
      </c>
      <c r="J161" s="34"/>
      <c r="K161" s="34">
        <f t="shared" si="21"/>
        <v>13999.920000000002</v>
      </c>
      <c r="L161" s="33"/>
      <c r="M161" s="34"/>
      <c r="N161" s="34"/>
      <c r="O161" s="34"/>
      <c r="P161" s="34"/>
      <c r="Q161" s="34"/>
      <c r="R161" s="34">
        <f t="shared" si="16"/>
        <v>13597.32</v>
      </c>
      <c r="S161" s="34">
        <f t="shared" si="17"/>
        <v>44757.24</v>
      </c>
      <c r="T161" s="34">
        <f t="shared" si="22"/>
        <v>44757.24</v>
      </c>
      <c r="U161" s="34"/>
      <c r="V161" s="34"/>
      <c r="W161" s="34"/>
      <c r="X161" s="34"/>
      <c r="Y161" s="34"/>
      <c r="Z161" s="34"/>
    </row>
    <row r="162" spans="1:26">
      <c r="A162" s="508" t="s">
        <v>1132</v>
      </c>
      <c r="B162" s="509">
        <v>1</v>
      </c>
      <c r="C162" s="510">
        <v>1039</v>
      </c>
      <c r="D162" s="509">
        <v>12</v>
      </c>
      <c r="E162" s="511">
        <v>43965.24</v>
      </c>
      <c r="F162" s="455" t="s">
        <v>1039</v>
      </c>
      <c r="G162" s="34">
        <f t="shared" si="18"/>
        <v>43965.24</v>
      </c>
      <c r="H162" s="34">
        <f t="shared" si="19"/>
        <v>900</v>
      </c>
      <c r="I162" s="34">
        <f t="shared" si="20"/>
        <v>3000</v>
      </c>
      <c r="J162" s="34"/>
      <c r="K162" s="34">
        <f t="shared" si="21"/>
        <v>13999.920000000002</v>
      </c>
      <c r="L162" s="33"/>
      <c r="M162" s="34"/>
      <c r="N162" s="34"/>
      <c r="O162" s="34"/>
      <c r="P162" s="34"/>
      <c r="Q162" s="34"/>
      <c r="R162" s="34">
        <f t="shared" si="16"/>
        <v>13597.32</v>
      </c>
      <c r="S162" s="34">
        <f t="shared" si="17"/>
        <v>43965.24</v>
      </c>
      <c r="T162" s="34">
        <f t="shared" si="22"/>
        <v>43965.24</v>
      </c>
      <c r="U162" s="34"/>
      <c r="V162" s="34"/>
      <c r="W162" s="34"/>
      <c r="X162" s="34"/>
      <c r="Y162" s="34"/>
      <c r="Z162" s="34"/>
    </row>
    <row r="163" spans="1:26">
      <c r="A163" s="508" t="s">
        <v>1133</v>
      </c>
      <c r="B163" s="509">
        <v>1</v>
      </c>
      <c r="C163" s="510">
        <v>1135</v>
      </c>
      <c r="D163" s="509">
        <v>12</v>
      </c>
      <c r="E163" s="511">
        <v>45117.24</v>
      </c>
      <c r="F163" s="455" t="s">
        <v>1039</v>
      </c>
      <c r="G163" s="34">
        <f t="shared" si="18"/>
        <v>45117.24</v>
      </c>
      <c r="H163" s="34">
        <f t="shared" si="19"/>
        <v>900</v>
      </c>
      <c r="I163" s="34">
        <f t="shared" si="20"/>
        <v>3000</v>
      </c>
      <c r="J163" s="34"/>
      <c r="K163" s="34">
        <f t="shared" si="21"/>
        <v>13999.920000000002</v>
      </c>
      <c r="L163" s="33"/>
      <c r="M163" s="34"/>
      <c r="N163" s="34"/>
      <c r="O163" s="34"/>
      <c r="P163" s="34"/>
      <c r="Q163" s="34"/>
      <c r="R163" s="34">
        <f t="shared" si="16"/>
        <v>13597.32</v>
      </c>
      <c r="S163" s="34">
        <f t="shared" si="17"/>
        <v>45117.24</v>
      </c>
      <c r="T163" s="34">
        <f t="shared" si="22"/>
        <v>45117.24</v>
      </c>
      <c r="U163" s="34"/>
      <c r="V163" s="34"/>
      <c r="W163" s="34"/>
      <c r="X163" s="34"/>
      <c r="Y163" s="34"/>
      <c r="Z163" s="34"/>
    </row>
    <row r="164" spans="1:26" ht="22.5">
      <c r="A164" s="512" t="s">
        <v>1134</v>
      </c>
      <c r="B164" s="509">
        <v>1</v>
      </c>
      <c r="C164" s="513">
        <v>1074</v>
      </c>
      <c r="D164" s="509">
        <v>12</v>
      </c>
      <c r="E164" s="514">
        <v>44085.24</v>
      </c>
      <c r="F164" s="455" t="s">
        <v>1039</v>
      </c>
      <c r="G164" s="34">
        <f t="shared" si="18"/>
        <v>44085.24</v>
      </c>
      <c r="H164" s="34">
        <f t="shared" si="19"/>
        <v>900</v>
      </c>
      <c r="I164" s="34">
        <f t="shared" si="20"/>
        <v>3000</v>
      </c>
      <c r="J164" s="34"/>
      <c r="K164" s="34">
        <f t="shared" si="21"/>
        <v>13999.920000000002</v>
      </c>
      <c r="L164" s="33"/>
      <c r="M164" s="34"/>
      <c r="N164" s="34"/>
      <c r="O164" s="34"/>
      <c r="P164" s="34"/>
      <c r="Q164" s="34"/>
      <c r="R164" s="34">
        <f t="shared" si="16"/>
        <v>13597.32</v>
      </c>
      <c r="S164" s="34">
        <f t="shared" si="17"/>
        <v>44085.24</v>
      </c>
      <c r="T164" s="34">
        <f t="shared" si="22"/>
        <v>44085.24</v>
      </c>
      <c r="U164" s="34"/>
      <c r="V164" s="34"/>
      <c r="W164" s="34"/>
      <c r="X164" s="34"/>
      <c r="Y164" s="34"/>
      <c r="Z164" s="34"/>
    </row>
    <row r="165" spans="1:26">
      <c r="A165" s="508" t="s">
        <v>1043</v>
      </c>
      <c r="B165" s="509">
        <v>1</v>
      </c>
      <c r="C165" s="510">
        <v>1575</v>
      </c>
      <c r="D165" s="509">
        <v>12</v>
      </c>
      <c r="E165" s="511">
        <v>50397.240000000005</v>
      </c>
      <c r="F165" s="455" t="s">
        <v>1039</v>
      </c>
      <c r="G165" s="34">
        <f t="shared" si="18"/>
        <v>50397.240000000005</v>
      </c>
      <c r="H165" s="34">
        <f t="shared" si="19"/>
        <v>900</v>
      </c>
      <c r="I165" s="34">
        <f t="shared" si="20"/>
        <v>3000</v>
      </c>
      <c r="J165" s="34"/>
      <c r="K165" s="34">
        <f t="shared" si="21"/>
        <v>13999.920000000002</v>
      </c>
      <c r="L165" s="33"/>
      <c r="M165" s="34"/>
      <c r="N165" s="34"/>
      <c r="O165" s="34"/>
      <c r="P165" s="34"/>
      <c r="Q165" s="34"/>
      <c r="R165" s="34">
        <f t="shared" si="16"/>
        <v>13597.32</v>
      </c>
      <c r="S165" s="34">
        <f t="shared" si="17"/>
        <v>50397.240000000005</v>
      </c>
      <c r="T165" s="34">
        <f t="shared" si="22"/>
        <v>50397.240000000005</v>
      </c>
      <c r="U165" s="34"/>
      <c r="V165" s="34"/>
      <c r="W165" s="34"/>
      <c r="X165" s="34"/>
      <c r="Y165" s="34"/>
      <c r="Z165" s="34"/>
    </row>
    <row r="166" spans="1:26">
      <c r="A166" s="508" t="s">
        <v>1135</v>
      </c>
      <c r="B166" s="509">
        <v>1</v>
      </c>
      <c r="C166" s="510">
        <v>1701</v>
      </c>
      <c r="D166" s="509">
        <v>12</v>
      </c>
      <c r="E166" s="511">
        <v>51909.240000000005</v>
      </c>
      <c r="F166" s="455" t="s">
        <v>1039</v>
      </c>
      <c r="G166" s="34">
        <f t="shared" si="18"/>
        <v>51909.240000000005</v>
      </c>
      <c r="H166" s="34">
        <f t="shared" si="19"/>
        <v>900</v>
      </c>
      <c r="I166" s="34">
        <f t="shared" si="20"/>
        <v>3000</v>
      </c>
      <c r="J166" s="34"/>
      <c r="K166" s="34">
        <f t="shared" si="21"/>
        <v>13999.920000000002</v>
      </c>
      <c r="L166" s="33"/>
      <c r="M166" s="34"/>
      <c r="N166" s="34"/>
      <c r="O166" s="34"/>
      <c r="P166" s="34"/>
      <c r="Q166" s="34"/>
      <c r="R166" s="34">
        <f t="shared" si="16"/>
        <v>13597.32</v>
      </c>
      <c r="S166" s="34">
        <f t="shared" si="17"/>
        <v>51909.240000000005</v>
      </c>
      <c r="T166" s="34">
        <f t="shared" si="22"/>
        <v>51909.240000000005</v>
      </c>
      <c r="U166" s="34"/>
      <c r="V166" s="34"/>
      <c r="W166" s="34"/>
      <c r="X166" s="34"/>
      <c r="Y166" s="34"/>
      <c r="Z166" s="34"/>
    </row>
    <row r="167" spans="1:26">
      <c r="A167" s="508" t="s">
        <v>1063</v>
      </c>
      <c r="B167" s="509">
        <v>1</v>
      </c>
      <c r="C167" s="510">
        <v>1831</v>
      </c>
      <c r="D167" s="509">
        <v>12</v>
      </c>
      <c r="E167" s="511">
        <v>53469.240000000005</v>
      </c>
      <c r="F167" s="455" t="s">
        <v>1039</v>
      </c>
      <c r="G167" s="34">
        <f t="shared" si="18"/>
        <v>53469.240000000005</v>
      </c>
      <c r="H167" s="34">
        <f t="shared" si="19"/>
        <v>900</v>
      </c>
      <c r="I167" s="34">
        <f t="shared" si="20"/>
        <v>3000</v>
      </c>
      <c r="J167" s="34"/>
      <c r="K167" s="34">
        <f t="shared" si="21"/>
        <v>13999.920000000002</v>
      </c>
      <c r="L167" s="33"/>
      <c r="M167" s="34"/>
      <c r="N167" s="34"/>
      <c r="O167" s="34"/>
      <c r="P167" s="34"/>
      <c r="Q167" s="34"/>
      <c r="R167" s="34">
        <f t="shared" si="16"/>
        <v>13597.32</v>
      </c>
      <c r="S167" s="34">
        <f t="shared" si="17"/>
        <v>53469.240000000005</v>
      </c>
      <c r="T167" s="34">
        <f t="shared" si="22"/>
        <v>53469.240000000005</v>
      </c>
      <c r="U167" s="34"/>
      <c r="V167" s="34"/>
      <c r="W167" s="34"/>
      <c r="X167" s="34"/>
      <c r="Y167" s="34"/>
      <c r="Z167" s="34"/>
    </row>
    <row r="168" spans="1:26">
      <c r="A168" s="508" t="s">
        <v>1136</v>
      </c>
      <c r="B168" s="509">
        <v>1</v>
      </c>
      <c r="C168" s="510">
        <v>1831</v>
      </c>
      <c r="D168" s="509">
        <v>12</v>
      </c>
      <c r="E168" s="511">
        <v>53169.240000000005</v>
      </c>
      <c r="F168" s="455" t="s">
        <v>1039</v>
      </c>
      <c r="G168" s="34">
        <f t="shared" si="18"/>
        <v>53169.240000000005</v>
      </c>
      <c r="H168" s="34">
        <f t="shared" si="19"/>
        <v>900</v>
      </c>
      <c r="I168" s="34">
        <f t="shared" si="20"/>
        <v>3000</v>
      </c>
      <c r="J168" s="34"/>
      <c r="K168" s="34">
        <f t="shared" si="21"/>
        <v>13999.920000000002</v>
      </c>
      <c r="L168" s="33"/>
      <c r="M168" s="34"/>
      <c r="N168" s="34"/>
      <c r="O168" s="34"/>
      <c r="P168" s="34"/>
      <c r="Q168" s="34"/>
      <c r="R168" s="34">
        <f t="shared" si="16"/>
        <v>13597.32</v>
      </c>
      <c r="S168" s="34">
        <f t="shared" si="17"/>
        <v>53169.240000000005</v>
      </c>
      <c r="T168" s="34">
        <f t="shared" si="22"/>
        <v>53169.240000000005</v>
      </c>
      <c r="U168" s="34"/>
      <c r="V168" s="34"/>
      <c r="W168" s="34"/>
      <c r="X168" s="34"/>
      <c r="Y168" s="34"/>
      <c r="Z168" s="34"/>
    </row>
    <row r="169" spans="1:26" ht="22.5">
      <c r="A169" s="512" t="s">
        <v>1137</v>
      </c>
      <c r="B169" s="509">
        <v>1</v>
      </c>
      <c r="C169" s="513">
        <v>1246</v>
      </c>
      <c r="D169" s="509">
        <v>12</v>
      </c>
      <c r="E169" s="514">
        <v>45969.24</v>
      </c>
      <c r="F169" s="455" t="s">
        <v>1039</v>
      </c>
      <c r="G169" s="34">
        <f t="shared" si="18"/>
        <v>45969.24</v>
      </c>
      <c r="H169" s="34">
        <f t="shared" si="19"/>
        <v>900</v>
      </c>
      <c r="I169" s="34">
        <f t="shared" si="20"/>
        <v>3000</v>
      </c>
      <c r="J169" s="34"/>
      <c r="K169" s="34">
        <f t="shared" si="21"/>
        <v>13999.920000000002</v>
      </c>
      <c r="L169" s="33"/>
      <c r="M169" s="34"/>
      <c r="N169" s="34"/>
      <c r="O169" s="34"/>
      <c r="P169" s="34"/>
      <c r="Q169" s="34"/>
      <c r="R169" s="34">
        <f t="shared" si="16"/>
        <v>13597.32</v>
      </c>
      <c r="S169" s="34">
        <f t="shared" si="17"/>
        <v>45969.24</v>
      </c>
      <c r="T169" s="34">
        <f t="shared" si="22"/>
        <v>45969.24</v>
      </c>
      <c r="U169" s="34"/>
      <c r="V169" s="34"/>
      <c r="W169" s="34"/>
      <c r="X169" s="34"/>
      <c r="Y169" s="34"/>
      <c r="Z169" s="34"/>
    </row>
    <row r="170" spans="1:26">
      <c r="A170" s="508" t="s">
        <v>1109</v>
      </c>
      <c r="B170" s="509">
        <v>2</v>
      </c>
      <c r="C170" s="510">
        <v>1460</v>
      </c>
      <c r="D170" s="509">
        <v>12</v>
      </c>
      <c r="E170" s="511">
        <v>98034.48</v>
      </c>
      <c r="F170" s="455" t="s">
        <v>1039</v>
      </c>
      <c r="G170" s="34">
        <f t="shared" si="18"/>
        <v>98034.48</v>
      </c>
      <c r="H170" s="34">
        <f t="shared" si="19"/>
        <v>1800</v>
      </c>
      <c r="I170" s="34">
        <f t="shared" si="20"/>
        <v>6000</v>
      </c>
      <c r="J170" s="34"/>
      <c r="K170" s="34">
        <f t="shared" si="21"/>
        <v>27999.840000000004</v>
      </c>
      <c r="L170" s="33"/>
      <c r="M170" s="34"/>
      <c r="N170" s="34"/>
      <c r="O170" s="34"/>
      <c r="P170" s="34"/>
      <c r="Q170" s="34"/>
      <c r="R170" s="34">
        <f t="shared" si="16"/>
        <v>27194.639999999999</v>
      </c>
      <c r="S170" s="34">
        <f t="shared" si="17"/>
        <v>98034.48</v>
      </c>
      <c r="T170" s="34">
        <f t="shared" si="22"/>
        <v>98034.48</v>
      </c>
      <c r="U170" s="34"/>
      <c r="V170" s="34"/>
      <c r="W170" s="34"/>
      <c r="X170" s="34"/>
      <c r="Y170" s="34"/>
      <c r="Z170" s="34"/>
    </row>
    <row r="171" spans="1:26">
      <c r="A171" s="508" t="s">
        <v>1138</v>
      </c>
      <c r="B171" s="509">
        <v>1</v>
      </c>
      <c r="C171" s="510">
        <v>4449</v>
      </c>
      <c r="D171" s="509">
        <v>12</v>
      </c>
      <c r="E171" s="511">
        <v>83985.24</v>
      </c>
      <c r="F171" s="455" t="s">
        <v>1039</v>
      </c>
      <c r="G171" s="34">
        <f t="shared" si="18"/>
        <v>83985.24</v>
      </c>
      <c r="H171" s="34">
        <f t="shared" si="19"/>
        <v>900</v>
      </c>
      <c r="I171" s="34">
        <f t="shared" si="20"/>
        <v>3000</v>
      </c>
      <c r="J171" s="34"/>
      <c r="K171" s="34">
        <f t="shared" si="21"/>
        <v>13999.920000000002</v>
      </c>
      <c r="L171" s="33"/>
      <c r="M171" s="34"/>
      <c r="N171" s="34"/>
      <c r="O171" s="34"/>
      <c r="P171" s="34"/>
      <c r="Q171" s="34"/>
      <c r="R171" s="34">
        <f t="shared" si="16"/>
        <v>13597.32</v>
      </c>
      <c r="S171" s="34">
        <f t="shared" si="17"/>
        <v>83985.24</v>
      </c>
      <c r="T171" s="34">
        <f t="shared" si="22"/>
        <v>83985.24</v>
      </c>
      <c r="U171" s="34"/>
      <c r="V171" s="34"/>
      <c r="W171" s="34"/>
      <c r="X171" s="34"/>
      <c r="Y171" s="34"/>
      <c r="Z171" s="34"/>
    </row>
    <row r="172" spans="1:26" ht="22.5">
      <c r="A172" s="512" t="s">
        <v>1125</v>
      </c>
      <c r="B172" s="509">
        <v>12</v>
      </c>
      <c r="C172" s="513">
        <v>1039</v>
      </c>
      <c r="D172" s="509">
        <v>12</v>
      </c>
      <c r="E172" s="514">
        <v>527582.88</v>
      </c>
      <c r="F172" s="455" t="s">
        <v>1039</v>
      </c>
      <c r="G172" s="34">
        <f t="shared" si="18"/>
        <v>527582.88</v>
      </c>
      <c r="H172" s="34">
        <f t="shared" si="19"/>
        <v>10800</v>
      </c>
      <c r="I172" s="34">
        <f t="shared" si="20"/>
        <v>36000</v>
      </c>
      <c r="J172" s="34"/>
      <c r="K172" s="34">
        <f t="shared" si="21"/>
        <v>167999.04000000004</v>
      </c>
      <c r="L172" s="33"/>
      <c r="M172" s="34"/>
      <c r="N172" s="34"/>
      <c r="O172" s="34"/>
      <c r="P172" s="34"/>
      <c r="Q172" s="34"/>
      <c r="R172" s="34">
        <f t="shared" si="16"/>
        <v>163167.84</v>
      </c>
      <c r="S172" s="34">
        <f t="shared" si="17"/>
        <v>527582.88</v>
      </c>
      <c r="T172" s="34">
        <f t="shared" si="22"/>
        <v>527582.88</v>
      </c>
      <c r="U172" s="34"/>
      <c r="V172" s="34"/>
      <c r="W172" s="34"/>
      <c r="X172" s="34"/>
      <c r="Y172" s="34"/>
      <c r="Z172" s="34"/>
    </row>
    <row r="173" spans="1:26">
      <c r="A173" s="515" t="s">
        <v>43</v>
      </c>
      <c r="B173" s="509">
        <v>7</v>
      </c>
      <c r="C173" s="513">
        <v>1128</v>
      </c>
      <c r="D173" s="509">
        <v>12</v>
      </c>
      <c r="E173" s="514">
        <v>315232.68</v>
      </c>
      <c r="F173" s="455" t="s">
        <v>1039</v>
      </c>
      <c r="G173" s="34">
        <f t="shared" si="18"/>
        <v>315232.68</v>
      </c>
      <c r="H173" s="34">
        <f t="shared" si="19"/>
        <v>6300</v>
      </c>
      <c r="I173" s="34">
        <f t="shared" si="20"/>
        <v>21000</v>
      </c>
      <c r="J173" s="34"/>
      <c r="K173" s="34">
        <f t="shared" si="21"/>
        <v>97999.440000000017</v>
      </c>
      <c r="L173" s="33"/>
      <c r="M173" s="34"/>
      <c r="N173" s="34"/>
      <c r="O173" s="34"/>
      <c r="P173" s="34"/>
      <c r="Q173" s="34"/>
      <c r="R173" s="34">
        <f t="shared" si="16"/>
        <v>95181.239999999991</v>
      </c>
      <c r="S173" s="34">
        <f t="shared" si="17"/>
        <v>315232.68</v>
      </c>
      <c r="T173" s="34">
        <f t="shared" si="22"/>
        <v>315232.68</v>
      </c>
      <c r="U173" s="34"/>
      <c r="V173" s="34"/>
      <c r="W173" s="34"/>
      <c r="X173" s="34"/>
      <c r="Y173" s="34"/>
      <c r="Z173" s="34"/>
    </row>
    <row r="174" spans="1:26" ht="22.5">
      <c r="A174" s="512" t="s">
        <v>1139</v>
      </c>
      <c r="B174" s="509">
        <v>3</v>
      </c>
      <c r="C174" s="513">
        <v>1135</v>
      </c>
      <c r="D174" s="509">
        <v>12</v>
      </c>
      <c r="E174" s="514">
        <v>135351.72</v>
      </c>
      <c r="F174" s="455" t="s">
        <v>1039</v>
      </c>
      <c r="G174" s="34">
        <f t="shared" si="18"/>
        <v>135351.72</v>
      </c>
      <c r="H174" s="34">
        <f t="shared" si="19"/>
        <v>2700</v>
      </c>
      <c r="I174" s="34">
        <f t="shared" si="20"/>
        <v>9000</v>
      </c>
      <c r="J174" s="34"/>
      <c r="K174" s="34">
        <f t="shared" si="21"/>
        <v>41999.760000000009</v>
      </c>
      <c r="L174" s="33"/>
      <c r="M174" s="34"/>
      <c r="N174" s="34"/>
      <c r="O174" s="34"/>
      <c r="P174" s="34"/>
      <c r="Q174" s="34"/>
      <c r="R174" s="34">
        <f t="shared" si="16"/>
        <v>40791.96</v>
      </c>
      <c r="S174" s="34">
        <f t="shared" si="17"/>
        <v>135351.72</v>
      </c>
      <c r="T174" s="34">
        <f t="shared" si="22"/>
        <v>135351.72</v>
      </c>
      <c r="U174" s="34"/>
      <c r="V174" s="34"/>
      <c r="W174" s="34"/>
      <c r="X174" s="34"/>
      <c r="Y174" s="34"/>
      <c r="Z174" s="34"/>
    </row>
    <row r="175" spans="1:26" ht="22.5">
      <c r="A175" s="512" t="s">
        <v>1112</v>
      </c>
      <c r="B175" s="509">
        <v>3</v>
      </c>
      <c r="C175" s="513">
        <v>1105</v>
      </c>
      <c r="D175" s="509">
        <v>12</v>
      </c>
      <c r="E175" s="514">
        <v>134271.72</v>
      </c>
      <c r="F175" s="455" t="s">
        <v>1039</v>
      </c>
      <c r="G175" s="34">
        <f t="shared" si="18"/>
        <v>134271.72</v>
      </c>
      <c r="H175" s="34">
        <f t="shared" si="19"/>
        <v>2700</v>
      </c>
      <c r="I175" s="34">
        <f t="shared" si="20"/>
        <v>9000</v>
      </c>
      <c r="J175" s="34"/>
      <c r="K175" s="34">
        <f t="shared" si="21"/>
        <v>41999.760000000009</v>
      </c>
      <c r="L175" s="33"/>
      <c r="M175" s="34"/>
      <c r="N175" s="34"/>
      <c r="O175" s="34"/>
      <c r="P175" s="34"/>
      <c r="Q175" s="34"/>
      <c r="R175" s="34">
        <f t="shared" si="16"/>
        <v>40791.96</v>
      </c>
      <c r="S175" s="34">
        <f t="shared" si="17"/>
        <v>134271.72</v>
      </c>
      <c r="T175" s="34">
        <f t="shared" si="22"/>
        <v>134271.72</v>
      </c>
      <c r="U175" s="34"/>
      <c r="V175" s="34"/>
      <c r="W175" s="34"/>
      <c r="X175" s="34"/>
      <c r="Y175" s="34"/>
      <c r="Z175" s="34"/>
    </row>
    <row r="176" spans="1:26" ht="22.5">
      <c r="A176" s="512" t="s">
        <v>1090</v>
      </c>
      <c r="B176" s="509">
        <v>1</v>
      </c>
      <c r="C176" s="513">
        <v>1074</v>
      </c>
      <c r="D176" s="509">
        <v>12</v>
      </c>
      <c r="E176" s="514">
        <v>44385.24</v>
      </c>
      <c r="F176" s="455" t="s">
        <v>1039</v>
      </c>
      <c r="G176" s="34">
        <f t="shared" si="18"/>
        <v>44385.24</v>
      </c>
      <c r="H176" s="34">
        <f t="shared" si="19"/>
        <v>900</v>
      </c>
      <c r="I176" s="34">
        <f t="shared" si="20"/>
        <v>3000</v>
      </c>
      <c r="J176" s="34"/>
      <c r="K176" s="34">
        <f t="shared" si="21"/>
        <v>13999.920000000002</v>
      </c>
      <c r="L176" s="33"/>
      <c r="M176" s="34"/>
      <c r="N176" s="34"/>
      <c r="O176" s="34"/>
      <c r="P176" s="34"/>
      <c r="Q176" s="34"/>
      <c r="R176" s="34">
        <f t="shared" si="16"/>
        <v>13597.32</v>
      </c>
      <c r="S176" s="34">
        <f t="shared" si="17"/>
        <v>44385.24</v>
      </c>
      <c r="T176" s="34">
        <f t="shared" si="22"/>
        <v>44385.24</v>
      </c>
      <c r="U176" s="34"/>
      <c r="V176" s="34"/>
      <c r="W176" s="34"/>
      <c r="X176" s="34"/>
      <c r="Y176" s="34"/>
      <c r="Z176" s="34"/>
    </row>
    <row r="177" spans="1:26" ht="22.5">
      <c r="A177" s="512" t="s">
        <v>1116</v>
      </c>
      <c r="B177" s="509">
        <v>1</v>
      </c>
      <c r="C177" s="510">
        <v>1074</v>
      </c>
      <c r="D177" s="509">
        <v>12</v>
      </c>
      <c r="E177" s="514">
        <v>44385.24</v>
      </c>
      <c r="F177" s="455" t="s">
        <v>1039</v>
      </c>
      <c r="G177" s="34">
        <f t="shared" si="18"/>
        <v>44385.24</v>
      </c>
      <c r="H177" s="34">
        <f t="shared" si="19"/>
        <v>900</v>
      </c>
      <c r="I177" s="34">
        <f t="shared" si="20"/>
        <v>3000</v>
      </c>
      <c r="J177" s="34"/>
      <c r="K177" s="34">
        <f t="shared" si="21"/>
        <v>13999.920000000002</v>
      </c>
      <c r="L177" s="33"/>
      <c r="M177" s="34"/>
      <c r="N177" s="34"/>
      <c r="O177" s="34"/>
      <c r="P177" s="34"/>
      <c r="Q177" s="34"/>
      <c r="R177" s="34">
        <f t="shared" si="16"/>
        <v>13597.32</v>
      </c>
      <c r="S177" s="34">
        <f t="shared" si="17"/>
        <v>44385.24</v>
      </c>
      <c r="T177" s="34">
        <f t="shared" si="22"/>
        <v>44385.24</v>
      </c>
      <c r="U177" s="34"/>
      <c r="V177" s="34"/>
      <c r="W177" s="34"/>
      <c r="X177" s="34"/>
      <c r="Y177" s="34"/>
      <c r="Z177" s="34"/>
    </row>
    <row r="178" spans="1:26">
      <c r="A178" s="508" t="s">
        <v>1140</v>
      </c>
      <c r="B178" s="509">
        <v>1</v>
      </c>
      <c r="C178" s="510">
        <v>1039</v>
      </c>
      <c r="D178" s="509">
        <v>12</v>
      </c>
      <c r="E178" s="514">
        <v>43965.24</v>
      </c>
      <c r="F178" s="455" t="s">
        <v>1039</v>
      </c>
      <c r="G178" s="34">
        <f t="shared" si="18"/>
        <v>43965.24</v>
      </c>
      <c r="H178" s="34">
        <f t="shared" si="19"/>
        <v>900</v>
      </c>
      <c r="I178" s="34">
        <f t="shared" si="20"/>
        <v>3000</v>
      </c>
      <c r="J178" s="34"/>
      <c r="K178" s="34">
        <f t="shared" si="21"/>
        <v>13999.920000000002</v>
      </c>
      <c r="L178" s="33"/>
      <c r="M178" s="34"/>
      <c r="N178" s="34"/>
      <c r="O178" s="34"/>
      <c r="P178" s="34"/>
      <c r="Q178" s="34"/>
      <c r="R178" s="34">
        <f t="shared" si="16"/>
        <v>13597.32</v>
      </c>
      <c r="S178" s="34">
        <f t="shared" si="17"/>
        <v>43965.24</v>
      </c>
      <c r="T178" s="34">
        <f t="shared" si="22"/>
        <v>43965.24</v>
      </c>
      <c r="U178" s="34"/>
      <c r="V178" s="34"/>
      <c r="W178" s="34"/>
      <c r="X178" s="34"/>
      <c r="Y178" s="34"/>
      <c r="Z178" s="34"/>
    </row>
    <row r="179" spans="1:26" ht="22.5">
      <c r="A179" s="512" t="s">
        <v>1141</v>
      </c>
      <c r="B179" s="509">
        <v>1</v>
      </c>
      <c r="C179" s="513">
        <v>1074</v>
      </c>
      <c r="D179" s="509">
        <v>12</v>
      </c>
      <c r="E179" s="514">
        <v>44385.24</v>
      </c>
      <c r="F179" s="455" t="s">
        <v>1039</v>
      </c>
      <c r="G179" s="34">
        <f t="shared" si="18"/>
        <v>44385.24</v>
      </c>
      <c r="H179" s="34">
        <f t="shared" si="19"/>
        <v>900</v>
      </c>
      <c r="I179" s="34">
        <f t="shared" si="20"/>
        <v>3000</v>
      </c>
      <c r="J179" s="34"/>
      <c r="K179" s="34">
        <f t="shared" si="21"/>
        <v>13999.920000000002</v>
      </c>
      <c r="L179" s="33"/>
      <c r="M179" s="34"/>
      <c r="N179" s="34"/>
      <c r="O179" s="34"/>
      <c r="P179" s="34"/>
      <c r="Q179" s="34"/>
      <c r="R179" s="34">
        <f t="shared" si="16"/>
        <v>13597.32</v>
      </c>
      <c r="S179" s="34">
        <f t="shared" si="17"/>
        <v>44385.24</v>
      </c>
      <c r="T179" s="34">
        <f t="shared" si="22"/>
        <v>44385.24</v>
      </c>
      <c r="U179" s="34"/>
      <c r="V179" s="34"/>
      <c r="W179" s="34"/>
      <c r="X179" s="34"/>
      <c r="Y179" s="34"/>
      <c r="Z179" s="34"/>
    </row>
    <row r="180" spans="1:26" ht="22.5">
      <c r="A180" s="512" t="s">
        <v>1041</v>
      </c>
      <c r="B180" s="509">
        <v>1</v>
      </c>
      <c r="C180" s="510">
        <v>1105</v>
      </c>
      <c r="D180" s="509">
        <v>12</v>
      </c>
      <c r="E180" s="514">
        <v>44757.24</v>
      </c>
      <c r="F180" s="455" t="s">
        <v>1039</v>
      </c>
      <c r="G180" s="34">
        <f t="shared" si="18"/>
        <v>44757.24</v>
      </c>
      <c r="H180" s="34">
        <f t="shared" si="19"/>
        <v>900</v>
      </c>
      <c r="I180" s="34">
        <f t="shared" si="20"/>
        <v>3000</v>
      </c>
      <c r="J180" s="34"/>
      <c r="K180" s="34">
        <f t="shared" si="21"/>
        <v>13999.920000000002</v>
      </c>
      <c r="L180" s="33"/>
      <c r="M180" s="34"/>
      <c r="N180" s="34"/>
      <c r="O180" s="34"/>
      <c r="P180" s="34"/>
      <c r="Q180" s="34"/>
      <c r="R180" s="34">
        <f t="shared" si="16"/>
        <v>13597.32</v>
      </c>
      <c r="S180" s="34">
        <f t="shared" si="17"/>
        <v>44757.24</v>
      </c>
      <c r="T180" s="34">
        <f t="shared" si="22"/>
        <v>44757.24</v>
      </c>
      <c r="U180" s="34"/>
      <c r="V180" s="34"/>
      <c r="W180" s="34"/>
      <c r="X180" s="34"/>
      <c r="Y180" s="34"/>
      <c r="Z180" s="34"/>
    </row>
    <row r="181" spans="1:26">
      <c r="A181" s="512" t="s">
        <v>1142</v>
      </c>
      <c r="B181" s="509">
        <v>1</v>
      </c>
      <c r="C181" s="510">
        <v>1302</v>
      </c>
      <c r="D181" s="509">
        <v>12</v>
      </c>
      <c r="E181" s="514">
        <v>45033.24</v>
      </c>
      <c r="F181" s="455" t="s">
        <v>1039</v>
      </c>
      <c r="G181" s="34">
        <f t="shared" si="18"/>
        <v>45033.24</v>
      </c>
      <c r="H181" s="34">
        <f t="shared" si="19"/>
        <v>900</v>
      </c>
      <c r="I181" s="34">
        <f t="shared" si="20"/>
        <v>3000</v>
      </c>
      <c r="J181" s="34"/>
      <c r="K181" s="34">
        <f t="shared" si="21"/>
        <v>13999.920000000002</v>
      </c>
      <c r="L181" s="33"/>
      <c r="M181" s="34"/>
      <c r="N181" s="34"/>
      <c r="O181" s="34"/>
      <c r="P181" s="34"/>
      <c r="Q181" s="34"/>
      <c r="R181" s="34">
        <f t="shared" si="16"/>
        <v>13597.32</v>
      </c>
      <c r="S181" s="34">
        <f t="shared" si="17"/>
        <v>45033.24</v>
      </c>
      <c r="T181" s="34">
        <f t="shared" si="22"/>
        <v>45033.24</v>
      </c>
      <c r="U181" s="34"/>
      <c r="V181" s="34"/>
      <c r="W181" s="34"/>
      <c r="X181" s="34"/>
      <c r="Y181" s="34"/>
      <c r="Z181" s="34"/>
    </row>
    <row r="182" spans="1:26">
      <c r="A182" s="512" t="s">
        <v>1143</v>
      </c>
      <c r="B182" s="509">
        <v>1</v>
      </c>
      <c r="C182" s="510">
        <v>1135</v>
      </c>
      <c r="D182" s="509">
        <v>12</v>
      </c>
      <c r="E182" s="514">
        <v>45117.24</v>
      </c>
      <c r="F182" s="455" t="s">
        <v>1039</v>
      </c>
      <c r="G182" s="34">
        <f t="shared" si="18"/>
        <v>45117.24</v>
      </c>
      <c r="H182" s="34">
        <f t="shared" si="19"/>
        <v>900</v>
      </c>
      <c r="I182" s="34">
        <f t="shared" si="20"/>
        <v>3000</v>
      </c>
      <c r="J182" s="34"/>
      <c r="K182" s="34">
        <f t="shared" si="21"/>
        <v>13999.920000000002</v>
      </c>
      <c r="L182" s="33"/>
      <c r="M182" s="34"/>
      <c r="N182" s="34"/>
      <c r="O182" s="34"/>
      <c r="P182" s="34"/>
      <c r="Q182" s="34"/>
      <c r="R182" s="34">
        <f t="shared" si="16"/>
        <v>13597.32</v>
      </c>
      <c r="S182" s="34">
        <f t="shared" si="17"/>
        <v>45117.24</v>
      </c>
      <c r="T182" s="34">
        <f t="shared" si="22"/>
        <v>45117.24</v>
      </c>
      <c r="U182" s="34"/>
      <c r="V182" s="34"/>
      <c r="W182" s="34"/>
      <c r="X182" s="34"/>
      <c r="Y182" s="34"/>
      <c r="Z182" s="34"/>
    </row>
    <row r="183" spans="1:26">
      <c r="A183" s="512" t="s">
        <v>1144</v>
      </c>
      <c r="B183" s="509">
        <v>1</v>
      </c>
      <c r="C183" s="513">
        <v>1105</v>
      </c>
      <c r="D183" s="509">
        <v>12</v>
      </c>
      <c r="E183" s="514">
        <v>45117.24</v>
      </c>
      <c r="F183" s="455" t="s">
        <v>1039</v>
      </c>
      <c r="G183" s="34">
        <f t="shared" si="18"/>
        <v>45117.24</v>
      </c>
      <c r="H183" s="34">
        <f t="shared" si="19"/>
        <v>900</v>
      </c>
      <c r="I183" s="34">
        <f t="shared" si="20"/>
        <v>3000</v>
      </c>
      <c r="J183" s="34"/>
      <c r="K183" s="34">
        <f t="shared" si="21"/>
        <v>13999.920000000002</v>
      </c>
      <c r="L183" s="33"/>
      <c r="M183" s="34"/>
      <c r="N183" s="34"/>
      <c r="O183" s="34"/>
      <c r="P183" s="34"/>
      <c r="Q183" s="34"/>
      <c r="R183" s="34">
        <f t="shared" si="16"/>
        <v>13597.32</v>
      </c>
      <c r="S183" s="34">
        <f t="shared" si="17"/>
        <v>45117.24</v>
      </c>
      <c r="T183" s="34">
        <f t="shared" si="22"/>
        <v>45117.24</v>
      </c>
      <c r="U183" s="34"/>
      <c r="V183" s="34"/>
      <c r="W183" s="34"/>
      <c r="X183" s="34"/>
      <c r="Y183" s="34"/>
      <c r="Z183" s="34"/>
    </row>
    <row r="184" spans="1:26">
      <c r="A184" s="512" t="s">
        <v>1088</v>
      </c>
      <c r="B184" s="509">
        <v>1</v>
      </c>
      <c r="C184" s="510">
        <v>1074</v>
      </c>
      <c r="D184" s="509">
        <v>12</v>
      </c>
      <c r="E184" s="514">
        <v>44385.24</v>
      </c>
      <c r="F184" s="455" t="s">
        <v>1039</v>
      </c>
      <c r="G184" s="34">
        <f t="shared" si="18"/>
        <v>44385.24</v>
      </c>
      <c r="H184" s="34">
        <f t="shared" si="19"/>
        <v>900</v>
      </c>
      <c r="I184" s="34">
        <f t="shared" si="20"/>
        <v>3000</v>
      </c>
      <c r="J184" s="34"/>
      <c r="K184" s="34">
        <f t="shared" si="21"/>
        <v>13999.920000000002</v>
      </c>
      <c r="L184" s="33"/>
      <c r="M184" s="34"/>
      <c r="N184" s="34"/>
      <c r="O184" s="34"/>
      <c r="P184" s="34"/>
      <c r="Q184" s="34"/>
      <c r="R184" s="34">
        <f t="shared" si="16"/>
        <v>13597.32</v>
      </c>
      <c r="S184" s="34">
        <f t="shared" si="17"/>
        <v>44385.24</v>
      </c>
      <c r="T184" s="34">
        <f t="shared" si="22"/>
        <v>44385.24</v>
      </c>
      <c r="U184" s="34"/>
      <c r="V184" s="34"/>
      <c r="W184" s="34"/>
      <c r="X184" s="34"/>
      <c r="Y184" s="34"/>
      <c r="Z184" s="34"/>
    </row>
    <row r="185" spans="1:26">
      <c r="A185" s="512" t="s">
        <v>1132</v>
      </c>
      <c r="B185" s="509">
        <v>1</v>
      </c>
      <c r="C185" s="510">
        <v>1039</v>
      </c>
      <c r="D185" s="509">
        <v>12</v>
      </c>
      <c r="E185" s="514">
        <v>43965.24</v>
      </c>
      <c r="F185" s="455" t="s">
        <v>1039</v>
      </c>
      <c r="G185" s="34">
        <f t="shared" si="18"/>
        <v>43965.24</v>
      </c>
      <c r="H185" s="34">
        <f t="shared" si="19"/>
        <v>900</v>
      </c>
      <c r="I185" s="34">
        <f t="shared" si="20"/>
        <v>3000</v>
      </c>
      <c r="J185" s="34"/>
      <c r="K185" s="34">
        <f t="shared" si="21"/>
        <v>13999.920000000002</v>
      </c>
      <c r="L185" s="33"/>
      <c r="M185" s="34"/>
      <c r="N185" s="34"/>
      <c r="O185" s="34"/>
      <c r="P185" s="34"/>
      <c r="Q185" s="34"/>
      <c r="R185" s="34">
        <f t="shared" si="16"/>
        <v>13597.32</v>
      </c>
      <c r="S185" s="34">
        <f t="shared" si="17"/>
        <v>43965.24</v>
      </c>
      <c r="T185" s="34">
        <f t="shared" si="22"/>
        <v>43965.24</v>
      </c>
      <c r="U185" s="34"/>
      <c r="V185" s="34"/>
      <c r="W185" s="34"/>
      <c r="X185" s="34"/>
      <c r="Y185" s="34"/>
      <c r="Z185" s="34"/>
    </row>
    <row r="186" spans="1:26" ht="22.5">
      <c r="A186" s="512" t="s">
        <v>1145</v>
      </c>
      <c r="B186" s="509">
        <v>9</v>
      </c>
      <c r="C186" s="513">
        <v>1135</v>
      </c>
      <c r="D186" s="509">
        <v>12</v>
      </c>
      <c r="E186" s="514">
        <v>403355.16000000003</v>
      </c>
      <c r="F186" s="455" t="s">
        <v>1039</v>
      </c>
      <c r="G186" s="34">
        <f t="shared" si="18"/>
        <v>403355.16000000003</v>
      </c>
      <c r="H186" s="34">
        <f t="shared" si="19"/>
        <v>8100</v>
      </c>
      <c r="I186" s="34">
        <f t="shared" si="20"/>
        <v>27000</v>
      </c>
      <c r="J186" s="34"/>
      <c r="K186" s="34">
        <f t="shared" si="21"/>
        <v>125999.28000000001</v>
      </c>
      <c r="L186" s="33"/>
      <c r="M186" s="34"/>
      <c r="N186" s="34"/>
      <c r="O186" s="34"/>
      <c r="P186" s="34"/>
      <c r="Q186" s="34"/>
      <c r="R186" s="34">
        <f t="shared" si="16"/>
        <v>122375.88</v>
      </c>
      <c r="S186" s="34">
        <f t="shared" si="17"/>
        <v>403355.16000000003</v>
      </c>
      <c r="T186" s="34">
        <f t="shared" si="22"/>
        <v>403355.16000000003</v>
      </c>
      <c r="U186" s="34"/>
      <c r="V186" s="34"/>
      <c r="W186" s="34"/>
      <c r="X186" s="34"/>
      <c r="Y186" s="34"/>
      <c r="Z186" s="34"/>
    </row>
    <row r="187" spans="1:26" ht="22.5">
      <c r="A187" s="512" t="s">
        <v>1125</v>
      </c>
      <c r="B187" s="509">
        <v>2</v>
      </c>
      <c r="C187" s="513">
        <v>1039</v>
      </c>
      <c r="D187" s="509">
        <v>12</v>
      </c>
      <c r="E187" s="514">
        <v>87330.48</v>
      </c>
      <c r="F187" s="455" t="s">
        <v>1039</v>
      </c>
      <c r="G187" s="34">
        <f t="shared" si="18"/>
        <v>87330.48</v>
      </c>
      <c r="H187" s="34">
        <f t="shared" si="19"/>
        <v>1800</v>
      </c>
      <c r="I187" s="34">
        <f t="shared" si="20"/>
        <v>6000</v>
      </c>
      <c r="J187" s="34"/>
      <c r="K187" s="34">
        <f t="shared" si="21"/>
        <v>27999.840000000004</v>
      </c>
      <c r="L187" s="33"/>
      <c r="M187" s="34"/>
      <c r="N187" s="34"/>
      <c r="O187" s="34"/>
      <c r="P187" s="34"/>
      <c r="Q187" s="34"/>
      <c r="R187" s="34">
        <f t="shared" si="16"/>
        <v>27194.639999999999</v>
      </c>
      <c r="S187" s="34">
        <f t="shared" si="17"/>
        <v>87330.48</v>
      </c>
      <c r="T187" s="34">
        <f t="shared" si="22"/>
        <v>87330.48</v>
      </c>
      <c r="U187" s="34"/>
      <c r="V187" s="34"/>
      <c r="W187" s="34"/>
      <c r="X187" s="34"/>
      <c r="Y187" s="34"/>
      <c r="Z187" s="34"/>
    </row>
    <row r="188" spans="1:26" ht="22.5">
      <c r="A188" s="512" t="s">
        <v>1090</v>
      </c>
      <c r="B188" s="509">
        <v>4</v>
      </c>
      <c r="C188" s="513">
        <v>1074</v>
      </c>
      <c r="D188" s="509">
        <v>12</v>
      </c>
      <c r="E188" s="514">
        <v>177540.96</v>
      </c>
      <c r="F188" s="455" t="s">
        <v>1039</v>
      </c>
      <c r="G188" s="34">
        <f t="shared" si="18"/>
        <v>177540.96</v>
      </c>
      <c r="H188" s="34">
        <f t="shared" si="19"/>
        <v>3600</v>
      </c>
      <c r="I188" s="34">
        <f t="shared" si="20"/>
        <v>12000</v>
      </c>
      <c r="J188" s="34"/>
      <c r="K188" s="34">
        <f t="shared" si="21"/>
        <v>55999.680000000008</v>
      </c>
      <c r="L188" s="33"/>
      <c r="M188" s="34"/>
      <c r="N188" s="34"/>
      <c r="O188" s="34"/>
      <c r="P188" s="34"/>
      <c r="Q188" s="34"/>
      <c r="R188" s="34">
        <f t="shared" si="16"/>
        <v>54389.279999999999</v>
      </c>
      <c r="S188" s="34">
        <f t="shared" si="17"/>
        <v>177540.96</v>
      </c>
      <c r="T188" s="34">
        <f t="shared" si="22"/>
        <v>177540.96</v>
      </c>
      <c r="U188" s="34"/>
      <c r="V188" s="34"/>
      <c r="W188" s="34"/>
      <c r="X188" s="34"/>
      <c r="Y188" s="34"/>
      <c r="Z188" s="34"/>
    </row>
    <row r="189" spans="1:26" ht="22.5">
      <c r="A189" s="512" t="s">
        <v>1112</v>
      </c>
      <c r="B189" s="509">
        <v>2</v>
      </c>
      <c r="C189" s="510">
        <v>1105</v>
      </c>
      <c r="D189" s="509">
        <v>12</v>
      </c>
      <c r="E189" s="511">
        <v>89514.48</v>
      </c>
      <c r="F189" s="455" t="s">
        <v>1039</v>
      </c>
      <c r="G189" s="34">
        <f t="shared" si="18"/>
        <v>89514.48</v>
      </c>
      <c r="H189" s="34">
        <f t="shared" si="19"/>
        <v>1800</v>
      </c>
      <c r="I189" s="34">
        <f t="shared" si="20"/>
        <v>6000</v>
      </c>
      <c r="J189" s="34"/>
      <c r="K189" s="34">
        <f t="shared" si="21"/>
        <v>27999.840000000004</v>
      </c>
      <c r="L189" s="33"/>
      <c r="M189" s="34"/>
      <c r="N189" s="34"/>
      <c r="O189" s="34"/>
      <c r="P189" s="34"/>
      <c r="Q189" s="34"/>
      <c r="R189" s="34">
        <f t="shared" si="16"/>
        <v>27194.639999999999</v>
      </c>
      <c r="S189" s="34">
        <f t="shared" si="17"/>
        <v>89514.48</v>
      </c>
      <c r="T189" s="34">
        <f t="shared" si="22"/>
        <v>89514.48</v>
      </c>
      <c r="U189" s="34"/>
      <c r="V189" s="34"/>
      <c r="W189" s="34"/>
      <c r="X189" s="34"/>
      <c r="Y189" s="34"/>
      <c r="Z189" s="34"/>
    </row>
    <row r="190" spans="1:26">
      <c r="A190" s="512" t="s">
        <v>1146</v>
      </c>
      <c r="B190" s="509">
        <v>1</v>
      </c>
      <c r="C190" s="510">
        <v>1246</v>
      </c>
      <c r="D190" s="509">
        <v>12</v>
      </c>
      <c r="E190" s="511">
        <v>46449.24</v>
      </c>
      <c r="F190" s="455" t="s">
        <v>1039</v>
      </c>
      <c r="G190" s="34">
        <f t="shared" si="18"/>
        <v>46449.24</v>
      </c>
      <c r="H190" s="34">
        <f t="shared" si="19"/>
        <v>900</v>
      </c>
      <c r="I190" s="34">
        <f t="shared" si="20"/>
        <v>3000</v>
      </c>
      <c r="J190" s="34"/>
      <c r="K190" s="34">
        <f t="shared" si="21"/>
        <v>13999.920000000002</v>
      </c>
      <c r="L190" s="33"/>
      <c r="M190" s="34"/>
      <c r="N190" s="34"/>
      <c r="O190" s="34"/>
      <c r="P190" s="34"/>
      <c r="Q190" s="34"/>
      <c r="R190" s="34">
        <f t="shared" si="16"/>
        <v>13597.32</v>
      </c>
      <c r="S190" s="34">
        <f t="shared" si="17"/>
        <v>46449.24</v>
      </c>
      <c r="T190" s="34">
        <f t="shared" si="22"/>
        <v>46449.24</v>
      </c>
      <c r="U190" s="34"/>
      <c r="V190" s="34"/>
      <c r="W190" s="34"/>
      <c r="X190" s="34"/>
      <c r="Y190" s="34"/>
      <c r="Z190" s="34"/>
    </row>
    <row r="191" spans="1:26" ht="22.5">
      <c r="A191" s="512" t="s">
        <v>1041</v>
      </c>
      <c r="B191" s="509">
        <v>1</v>
      </c>
      <c r="C191" s="510">
        <v>1105</v>
      </c>
      <c r="D191" s="509">
        <v>12</v>
      </c>
      <c r="E191" s="511">
        <v>44757.24</v>
      </c>
      <c r="F191" s="455" t="s">
        <v>1039</v>
      </c>
      <c r="G191" s="34">
        <f t="shared" si="18"/>
        <v>44757.24</v>
      </c>
      <c r="H191" s="34">
        <f t="shared" si="19"/>
        <v>900</v>
      </c>
      <c r="I191" s="34">
        <f t="shared" si="20"/>
        <v>3000</v>
      </c>
      <c r="J191" s="34"/>
      <c r="K191" s="34">
        <f t="shared" si="21"/>
        <v>13999.920000000002</v>
      </c>
      <c r="L191" s="33"/>
      <c r="M191" s="34"/>
      <c r="N191" s="34"/>
      <c r="O191" s="34"/>
      <c r="P191" s="34"/>
      <c r="Q191" s="34"/>
      <c r="R191" s="34">
        <f t="shared" si="16"/>
        <v>13597.32</v>
      </c>
      <c r="S191" s="34">
        <f t="shared" si="17"/>
        <v>44757.24</v>
      </c>
      <c r="T191" s="34">
        <f t="shared" si="22"/>
        <v>44757.24</v>
      </c>
      <c r="U191" s="34"/>
      <c r="V191" s="34"/>
      <c r="W191" s="34"/>
      <c r="X191" s="34"/>
      <c r="Y191" s="34"/>
      <c r="Z191" s="34"/>
    </row>
    <row r="192" spans="1:26">
      <c r="A192" s="508" t="s">
        <v>1109</v>
      </c>
      <c r="B192" s="509">
        <v>1</v>
      </c>
      <c r="C192" s="510">
        <v>1460</v>
      </c>
      <c r="D192" s="509">
        <v>12</v>
      </c>
      <c r="E192" s="514">
        <v>48717.24</v>
      </c>
      <c r="F192" s="455" t="s">
        <v>1039</v>
      </c>
      <c r="G192" s="34">
        <f t="shared" si="18"/>
        <v>48717.24</v>
      </c>
      <c r="H192" s="34">
        <f t="shared" si="19"/>
        <v>900</v>
      </c>
      <c r="I192" s="34">
        <f t="shared" si="20"/>
        <v>3000</v>
      </c>
      <c r="J192" s="34"/>
      <c r="K192" s="34">
        <f t="shared" si="21"/>
        <v>13999.920000000002</v>
      </c>
      <c r="L192" s="33"/>
      <c r="M192" s="34"/>
      <c r="N192" s="34"/>
      <c r="O192" s="34"/>
      <c r="P192" s="34"/>
      <c r="Q192" s="34"/>
      <c r="R192" s="34">
        <f t="shared" si="16"/>
        <v>13597.32</v>
      </c>
      <c r="S192" s="34">
        <f t="shared" si="17"/>
        <v>48717.24</v>
      </c>
      <c r="T192" s="34">
        <f t="shared" si="22"/>
        <v>48717.24</v>
      </c>
      <c r="U192" s="34"/>
      <c r="V192" s="34"/>
      <c r="W192" s="34"/>
      <c r="X192" s="34"/>
      <c r="Y192" s="34"/>
      <c r="Z192" s="34"/>
    </row>
    <row r="193" spans="1:26">
      <c r="A193" s="508" t="s">
        <v>1147</v>
      </c>
      <c r="B193" s="509">
        <v>1</v>
      </c>
      <c r="C193" s="510">
        <v>1381</v>
      </c>
      <c r="D193" s="509">
        <v>12</v>
      </c>
      <c r="E193" s="514">
        <v>48069.24</v>
      </c>
      <c r="F193" s="455" t="s">
        <v>1039</v>
      </c>
      <c r="G193" s="34">
        <f t="shared" si="18"/>
        <v>48069.24</v>
      </c>
      <c r="H193" s="34">
        <f t="shared" si="19"/>
        <v>900</v>
      </c>
      <c r="I193" s="34">
        <f t="shared" si="20"/>
        <v>3000</v>
      </c>
      <c r="J193" s="34"/>
      <c r="K193" s="34">
        <f t="shared" si="21"/>
        <v>13999.920000000002</v>
      </c>
      <c r="L193" s="33"/>
      <c r="M193" s="34"/>
      <c r="N193" s="34"/>
      <c r="O193" s="34"/>
      <c r="P193" s="34"/>
      <c r="Q193" s="34"/>
      <c r="R193" s="34">
        <f t="shared" si="16"/>
        <v>13597.32</v>
      </c>
      <c r="S193" s="34">
        <f t="shared" si="17"/>
        <v>48069.24</v>
      </c>
      <c r="T193" s="34">
        <f t="shared" si="22"/>
        <v>48069.24</v>
      </c>
      <c r="U193" s="34"/>
      <c r="V193" s="34"/>
      <c r="W193" s="34"/>
      <c r="X193" s="34"/>
      <c r="Y193" s="34"/>
      <c r="Z193" s="34"/>
    </row>
    <row r="194" spans="1:26">
      <c r="A194" s="508" t="s">
        <v>1050</v>
      </c>
      <c r="B194" s="509">
        <v>1</v>
      </c>
      <c r="C194" s="510">
        <v>1575</v>
      </c>
      <c r="D194" s="509">
        <v>12</v>
      </c>
      <c r="E194" s="514">
        <v>50097.240000000005</v>
      </c>
      <c r="F194" s="455" t="s">
        <v>1039</v>
      </c>
      <c r="G194" s="34">
        <f t="shared" si="18"/>
        <v>50097.240000000005</v>
      </c>
      <c r="H194" s="34">
        <f t="shared" si="19"/>
        <v>900</v>
      </c>
      <c r="I194" s="34">
        <f t="shared" si="20"/>
        <v>3000</v>
      </c>
      <c r="J194" s="34"/>
      <c r="K194" s="34">
        <f t="shared" si="21"/>
        <v>13999.920000000002</v>
      </c>
      <c r="L194" s="33"/>
      <c r="M194" s="34"/>
      <c r="N194" s="34"/>
      <c r="O194" s="34"/>
      <c r="P194" s="34"/>
      <c r="Q194" s="34"/>
      <c r="R194" s="34">
        <f t="shared" si="16"/>
        <v>13597.32</v>
      </c>
      <c r="S194" s="34">
        <f t="shared" si="17"/>
        <v>50097.240000000005</v>
      </c>
      <c r="T194" s="34">
        <f t="shared" si="22"/>
        <v>50097.240000000005</v>
      </c>
      <c r="U194" s="34"/>
      <c r="V194" s="34"/>
      <c r="W194" s="34"/>
      <c r="X194" s="34"/>
      <c r="Y194" s="34"/>
      <c r="Z194" s="34"/>
    </row>
    <row r="195" spans="1:26">
      <c r="A195" s="515" t="s">
        <v>43</v>
      </c>
      <c r="B195" s="509">
        <v>12</v>
      </c>
      <c r="C195" s="510">
        <v>1128</v>
      </c>
      <c r="D195" s="509">
        <v>12</v>
      </c>
      <c r="E195" s="514">
        <v>536366.88</v>
      </c>
      <c r="F195" s="455" t="s">
        <v>1039</v>
      </c>
      <c r="G195" s="34">
        <f t="shared" si="18"/>
        <v>536366.88</v>
      </c>
      <c r="H195" s="34">
        <f t="shared" si="19"/>
        <v>10800</v>
      </c>
      <c r="I195" s="34">
        <f t="shared" si="20"/>
        <v>36000</v>
      </c>
      <c r="J195" s="34"/>
      <c r="K195" s="34">
        <f t="shared" si="21"/>
        <v>167999.04000000004</v>
      </c>
      <c r="L195" s="33"/>
      <c r="M195" s="34"/>
      <c r="N195" s="34"/>
      <c r="O195" s="34"/>
      <c r="P195" s="34"/>
      <c r="Q195" s="34"/>
      <c r="R195" s="34">
        <f t="shared" si="16"/>
        <v>163167.84</v>
      </c>
      <c r="S195" s="34">
        <f t="shared" si="17"/>
        <v>536366.88</v>
      </c>
      <c r="T195" s="34">
        <f t="shared" si="22"/>
        <v>536366.88</v>
      </c>
      <c r="U195" s="34"/>
      <c r="V195" s="34"/>
      <c r="W195" s="34"/>
      <c r="X195" s="34"/>
      <c r="Y195" s="34"/>
      <c r="Z195" s="34"/>
    </row>
    <row r="196" spans="1:26">
      <c r="A196" s="508" t="s">
        <v>1148</v>
      </c>
      <c r="B196" s="509">
        <v>1</v>
      </c>
      <c r="C196" s="510">
        <v>1460</v>
      </c>
      <c r="D196" s="509">
        <v>12</v>
      </c>
      <c r="E196" s="514">
        <v>49017.24</v>
      </c>
      <c r="F196" s="455" t="s">
        <v>1039</v>
      </c>
      <c r="G196" s="34">
        <f t="shared" si="18"/>
        <v>49017.24</v>
      </c>
      <c r="H196" s="34">
        <f t="shared" si="19"/>
        <v>900</v>
      </c>
      <c r="I196" s="34">
        <f t="shared" si="20"/>
        <v>3000</v>
      </c>
      <c r="J196" s="34"/>
      <c r="K196" s="34">
        <f t="shared" si="21"/>
        <v>13999.920000000002</v>
      </c>
      <c r="L196" s="33"/>
      <c r="M196" s="34"/>
      <c r="N196" s="34"/>
      <c r="O196" s="34"/>
      <c r="P196" s="34"/>
      <c r="Q196" s="34"/>
      <c r="R196" s="34">
        <f t="shared" si="16"/>
        <v>13597.32</v>
      </c>
      <c r="S196" s="34">
        <f t="shared" si="17"/>
        <v>49017.24</v>
      </c>
      <c r="T196" s="34">
        <f t="shared" si="22"/>
        <v>49017.24</v>
      </c>
      <c r="U196" s="34"/>
      <c r="V196" s="34"/>
      <c r="W196" s="34"/>
      <c r="X196" s="34"/>
      <c r="Y196" s="34"/>
      <c r="Z196" s="34"/>
    </row>
    <row r="197" spans="1:26">
      <c r="A197" s="508" t="s">
        <v>1149</v>
      </c>
      <c r="B197" s="509">
        <v>1</v>
      </c>
      <c r="C197" s="510">
        <v>1074</v>
      </c>
      <c r="D197" s="509">
        <v>12</v>
      </c>
      <c r="E197" s="514">
        <v>44385.24</v>
      </c>
      <c r="F197" s="455" t="s">
        <v>1039</v>
      </c>
      <c r="G197" s="34">
        <f t="shared" si="18"/>
        <v>44385.24</v>
      </c>
      <c r="H197" s="34">
        <f t="shared" si="19"/>
        <v>900</v>
      </c>
      <c r="I197" s="34">
        <f t="shared" si="20"/>
        <v>3000</v>
      </c>
      <c r="J197" s="34"/>
      <c r="K197" s="34">
        <f t="shared" si="21"/>
        <v>13999.920000000002</v>
      </c>
      <c r="L197" s="33"/>
      <c r="M197" s="34"/>
      <c r="N197" s="34"/>
      <c r="O197" s="34"/>
      <c r="P197" s="34"/>
      <c r="Q197" s="34"/>
      <c r="R197" s="34">
        <f t="shared" si="16"/>
        <v>13597.32</v>
      </c>
      <c r="S197" s="34">
        <f t="shared" si="17"/>
        <v>44385.24</v>
      </c>
      <c r="T197" s="34">
        <f t="shared" si="22"/>
        <v>44385.24</v>
      </c>
      <c r="U197" s="34"/>
      <c r="V197" s="34"/>
      <c r="W197" s="34"/>
      <c r="X197" s="34"/>
      <c r="Y197" s="34"/>
      <c r="Z197" s="34"/>
    </row>
    <row r="198" spans="1:26" ht="22.5">
      <c r="A198" s="512" t="s">
        <v>1125</v>
      </c>
      <c r="B198" s="509">
        <v>27</v>
      </c>
      <c r="C198" s="510">
        <v>1039</v>
      </c>
      <c r="D198" s="509">
        <v>12</v>
      </c>
      <c r="E198" s="511">
        <v>1195485.48</v>
      </c>
      <c r="F198" s="455" t="s">
        <v>1039</v>
      </c>
      <c r="G198" s="34">
        <f t="shared" si="18"/>
        <v>1195485.48</v>
      </c>
      <c r="H198" s="34">
        <f t="shared" si="19"/>
        <v>24300</v>
      </c>
      <c r="I198" s="34">
        <f t="shared" si="20"/>
        <v>81000</v>
      </c>
      <c r="J198" s="34"/>
      <c r="K198" s="34">
        <f t="shared" si="21"/>
        <v>377997.84</v>
      </c>
      <c r="L198" s="33"/>
      <c r="M198" s="34"/>
      <c r="N198" s="34"/>
      <c r="O198" s="34"/>
      <c r="P198" s="34"/>
      <c r="Q198" s="34"/>
      <c r="R198" s="34">
        <f t="shared" si="16"/>
        <v>367127.64</v>
      </c>
      <c r="S198" s="34">
        <f t="shared" si="17"/>
        <v>1195485.48</v>
      </c>
      <c r="T198" s="34">
        <f t="shared" si="22"/>
        <v>1195485.48</v>
      </c>
      <c r="U198" s="34"/>
      <c r="V198" s="34"/>
      <c r="W198" s="34"/>
      <c r="X198" s="34"/>
      <c r="Y198" s="34"/>
      <c r="Z198" s="34"/>
    </row>
    <row r="199" spans="1:26" ht="22.5">
      <c r="A199" s="512" t="s">
        <v>1139</v>
      </c>
      <c r="B199" s="509">
        <v>4</v>
      </c>
      <c r="C199" s="510">
        <v>1135</v>
      </c>
      <c r="D199" s="509">
        <v>12</v>
      </c>
      <c r="E199" s="511">
        <v>179268.96</v>
      </c>
      <c r="F199" s="455" t="s">
        <v>1039</v>
      </c>
      <c r="G199" s="34">
        <f t="shared" si="18"/>
        <v>179268.96</v>
      </c>
      <c r="H199" s="34">
        <f t="shared" si="19"/>
        <v>3600</v>
      </c>
      <c r="I199" s="34">
        <f t="shared" si="20"/>
        <v>12000</v>
      </c>
      <c r="J199" s="34"/>
      <c r="K199" s="34">
        <f t="shared" si="21"/>
        <v>55999.680000000008</v>
      </c>
      <c r="L199" s="33"/>
      <c r="M199" s="34"/>
      <c r="N199" s="34"/>
      <c r="O199" s="34"/>
      <c r="P199" s="34"/>
      <c r="Q199" s="34"/>
      <c r="R199" s="34">
        <f t="shared" ref="R199:R236" si="23">1133.11*12*B199</f>
        <v>54389.279999999999</v>
      </c>
      <c r="S199" s="34">
        <f t="shared" ref="S199:S237" si="24">+E199</f>
        <v>179268.96</v>
      </c>
      <c r="T199" s="34">
        <f t="shared" si="22"/>
        <v>179268.96</v>
      </c>
      <c r="U199" s="34"/>
      <c r="V199" s="34"/>
      <c r="W199" s="34"/>
      <c r="X199" s="34"/>
      <c r="Y199" s="34"/>
      <c r="Z199" s="34"/>
    </row>
    <row r="200" spans="1:26">
      <c r="A200" s="508" t="s">
        <v>1150</v>
      </c>
      <c r="B200" s="509">
        <v>1</v>
      </c>
      <c r="C200" s="510">
        <v>1649</v>
      </c>
      <c r="D200" s="509">
        <v>12</v>
      </c>
      <c r="E200" s="511">
        <v>50985.240000000005</v>
      </c>
      <c r="F200" s="455" t="s">
        <v>1039</v>
      </c>
      <c r="G200" s="34">
        <f t="shared" ref="G200:G236" si="25">+E200</f>
        <v>50985.240000000005</v>
      </c>
      <c r="H200" s="34">
        <f t="shared" ref="H200:H236" si="26">75*B200*12</f>
        <v>900</v>
      </c>
      <c r="I200" s="34">
        <f t="shared" ref="I200:I236" si="27">250*B200*12</f>
        <v>3000</v>
      </c>
      <c r="J200" s="34"/>
      <c r="K200" s="34">
        <f t="shared" ref="K200:K236" si="28">1166.66*12*B200</f>
        <v>13999.920000000002</v>
      </c>
      <c r="L200" s="33"/>
      <c r="M200" s="34"/>
      <c r="N200" s="34"/>
      <c r="O200" s="34"/>
      <c r="P200" s="34"/>
      <c r="Q200" s="34"/>
      <c r="R200" s="34">
        <f t="shared" si="23"/>
        <v>13597.32</v>
      </c>
      <c r="S200" s="34">
        <f t="shared" si="24"/>
        <v>50985.240000000005</v>
      </c>
      <c r="T200" s="34">
        <f t="shared" ref="T200:T237" si="29">+S200</f>
        <v>50985.240000000005</v>
      </c>
      <c r="U200" s="34"/>
      <c r="V200" s="34"/>
      <c r="W200" s="34"/>
      <c r="X200" s="34"/>
      <c r="Y200" s="34"/>
      <c r="Z200" s="34"/>
    </row>
    <row r="201" spans="1:26">
      <c r="A201" s="508" t="s">
        <v>1109</v>
      </c>
      <c r="B201" s="509">
        <v>1</v>
      </c>
      <c r="C201" s="510">
        <v>1460</v>
      </c>
      <c r="D201" s="509">
        <v>12</v>
      </c>
      <c r="E201" s="511">
        <v>49017.24</v>
      </c>
      <c r="F201" s="455" t="s">
        <v>1039</v>
      </c>
      <c r="G201" s="34">
        <f t="shared" si="25"/>
        <v>49017.24</v>
      </c>
      <c r="H201" s="34">
        <f t="shared" si="26"/>
        <v>900</v>
      </c>
      <c r="I201" s="34">
        <f t="shared" si="27"/>
        <v>3000</v>
      </c>
      <c r="J201" s="34"/>
      <c r="K201" s="34">
        <f t="shared" si="28"/>
        <v>13999.920000000002</v>
      </c>
      <c r="L201" s="33"/>
      <c r="M201" s="34"/>
      <c r="N201" s="34"/>
      <c r="O201" s="34"/>
      <c r="P201" s="34"/>
      <c r="Q201" s="34"/>
      <c r="R201" s="34">
        <f t="shared" si="23"/>
        <v>13597.32</v>
      </c>
      <c r="S201" s="34">
        <f t="shared" si="24"/>
        <v>49017.24</v>
      </c>
      <c r="T201" s="34">
        <f t="shared" si="29"/>
        <v>49017.24</v>
      </c>
      <c r="U201" s="34"/>
      <c r="V201" s="34"/>
      <c r="W201" s="34"/>
      <c r="X201" s="34"/>
      <c r="Y201" s="34"/>
      <c r="Z201" s="34"/>
    </row>
    <row r="202" spans="1:26">
      <c r="A202" s="508" t="s">
        <v>1151</v>
      </c>
      <c r="B202" s="509">
        <v>2</v>
      </c>
      <c r="C202" s="510">
        <v>1575</v>
      </c>
      <c r="D202" s="509">
        <v>12</v>
      </c>
      <c r="E202" s="511">
        <v>100194.48000000001</v>
      </c>
      <c r="F202" s="455" t="s">
        <v>1039</v>
      </c>
      <c r="G202" s="34">
        <f t="shared" si="25"/>
        <v>100194.48000000001</v>
      </c>
      <c r="H202" s="34">
        <f t="shared" si="26"/>
        <v>1800</v>
      </c>
      <c r="I202" s="34">
        <f t="shared" si="27"/>
        <v>6000</v>
      </c>
      <c r="J202" s="34"/>
      <c r="K202" s="34">
        <f t="shared" si="28"/>
        <v>27999.840000000004</v>
      </c>
      <c r="L202" s="33"/>
      <c r="M202" s="34"/>
      <c r="N202" s="34"/>
      <c r="O202" s="34"/>
      <c r="P202" s="34"/>
      <c r="Q202" s="34"/>
      <c r="R202" s="34">
        <f t="shared" si="23"/>
        <v>27194.639999999999</v>
      </c>
      <c r="S202" s="34">
        <f t="shared" si="24"/>
        <v>100194.48000000001</v>
      </c>
      <c r="T202" s="34">
        <f t="shared" si="29"/>
        <v>100194.48000000001</v>
      </c>
      <c r="U202" s="34"/>
      <c r="V202" s="34"/>
      <c r="W202" s="34"/>
      <c r="X202" s="34"/>
      <c r="Y202" s="34"/>
      <c r="Z202" s="34"/>
    </row>
    <row r="203" spans="1:26">
      <c r="A203" s="508" t="s">
        <v>1050</v>
      </c>
      <c r="B203" s="509">
        <v>1</v>
      </c>
      <c r="C203" s="510">
        <v>1575</v>
      </c>
      <c r="D203" s="509">
        <v>12</v>
      </c>
      <c r="E203" s="511">
        <v>50397.240000000005</v>
      </c>
      <c r="F203" s="455" t="s">
        <v>1039</v>
      </c>
      <c r="G203" s="34">
        <f t="shared" si="25"/>
        <v>50397.240000000005</v>
      </c>
      <c r="H203" s="34">
        <f t="shared" si="26"/>
        <v>900</v>
      </c>
      <c r="I203" s="34">
        <f t="shared" si="27"/>
        <v>3000</v>
      </c>
      <c r="J203" s="34"/>
      <c r="K203" s="34">
        <f t="shared" si="28"/>
        <v>13999.920000000002</v>
      </c>
      <c r="L203" s="33"/>
      <c r="M203" s="34"/>
      <c r="N203" s="34"/>
      <c r="O203" s="34"/>
      <c r="P203" s="34"/>
      <c r="Q203" s="34"/>
      <c r="R203" s="34">
        <f t="shared" si="23"/>
        <v>13597.32</v>
      </c>
      <c r="S203" s="34">
        <f t="shared" si="24"/>
        <v>50397.240000000005</v>
      </c>
      <c r="T203" s="34">
        <f t="shared" si="29"/>
        <v>50397.240000000005</v>
      </c>
      <c r="U203" s="34"/>
      <c r="V203" s="34"/>
      <c r="W203" s="34"/>
      <c r="X203" s="34"/>
      <c r="Y203" s="34"/>
      <c r="Z203" s="34"/>
    </row>
    <row r="204" spans="1:26" ht="28.5" customHeight="1">
      <c r="A204" s="508" t="s">
        <v>1152</v>
      </c>
      <c r="B204" s="509">
        <v>1</v>
      </c>
      <c r="C204" s="510">
        <v>1701</v>
      </c>
      <c r="D204" s="509">
        <v>12</v>
      </c>
      <c r="E204" s="511">
        <v>51909.240000000005</v>
      </c>
      <c r="F204" s="455" t="s">
        <v>1039</v>
      </c>
      <c r="G204" s="34">
        <f t="shared" si="25"/>
        <v>51909.240000000005</v>
      </c>
      <c r="H204" s="34">
        <f t="shared" si="26"/>
        <v>900</v>
      </c>
      <c r="I204" s="34">
        <f t="shared" si="27"/>
        <v>3000</v>
      </c>
      <c r="J204" s="34"/>
      <c r="K204" s="34">
        <f t="shared" si="28"/>
        <v>13999.920000000002</v>
      </c>
      <c r="L204" s="33"/>
      <c r="M204" s="34"/>
      <c r="N204" s="34"/>
      <c r="O204" s="34"/>
      <c r="P204" s="34"/>
      <c r="Q204" s="34"/>
      <c r="R204" s="34">
        <f t="shared" si="23"/>
        <v>13597.32</v>
      </c>
      <c r="S204" s="34">
        <f t="shared" si="24"/>
        <v>51909.240000000005</v>
      </c>
      <c r="T204" s="34">
        <f t="shared" si="29"/>
        <v>51909.240000000005</v>
      </c>
      <c r="U204" s="34"/>
      <c r="V204" s="34"/>
      <c r="W204" s="34"/>
      <c r="X204" s="34"/>
      <c r="Y204" s="34"/>
      <c r="Z204" s="34"/>
    </row>
    <row r="205" spans="1:26" ht="28.5" customHeight="1">
      <c r="A205" s="515" t="s">
        <v>43</v>
      </c>
      <c r="B205" s="509">
        <v>6</v>
      </c>
      <c r="C205" s="510">
        <v>1128</v>
      </c>
      <c r="D205" s="509">
        <v>12</v>
      </c>
      <c r="E205" s="511">
        <v>270199.44</v>
      </c>
      <c r="F205" s="455" t="s">
        <v>1039</v>
      </c>
      <c r="G205" s="34">
        <f t="shared" si="25"/>
        <v>270199.44</v>
      </c>
      <c r="H205" s="34">
        <f t="shared" si="26"/>
        <v>5400</v>
      </c>
      <c r="I205" s="34">
        <f t="shared" si="27"/>
        <v>18000</v>
      </c>
      <c r="J205" s="34"/>
      <c r="K205" s="34">
        <f t="shared" si="28"/>
        <v>83999.520000000019</v>
      </c>
      <c r="L205" s="33"/>
      <c r="M205" s="34"/>
      <c r="N205" s="34"/>
      <c r="O205" s="34"/>
      <c r="P205" s="34"/>
      <c r="Q205" s="34"/>
      <c r="R205" s="34">
        <f t="shared" si="23"/>
        <v>81583.92</v>
      </c>
      <c r="S205" s="34">
        <f t="shared" si="24"/>
        <v>270199.44</v>
      </c>
      <c r="T205" s="34">
        <f t="shared" si="29"/>
        <v>270199.44</v>
      </c>
      <c r="U205" s="34"/>
      <c r="V205" s="34"/>
      <c r="W205" s="34"/>
      <c r="X205" s="34"/>
      <c r="Y205" s="34"/>
      <c r="Z205" s="34"/>
    </row>
    <row r="206" spans="1:26" ht="28.5" customHeight="1">
      <c r="A206" s="508" t="s">
        <v>1041</v>
      </c>
      <c r="B206" s="509">
        <v>3</v>
      </c>
      <c r="C206" s="510">
        <v>1105</v>
      </c>
      <c r="D206" s="509">
        <v>12</v>
      </c>
      <c r="E206" s="511">
        <v>134271.72</v>
      </c>
      <c r="F206" s="455" t="s">
        <v>1039</v>
      </c>
      <c r="G206" s="34">
        <f t="shared" si="25"/>
        <v>134271.72</v>
      </c>
      <c r="H206" s="34">
        <f t="shared" si="26"/>
        <v>2700</v>
      </c>
      <c r="I206" s="34">
        <f t="shared" si="27"/>
        <v>9000</v>
      </c>
      <c r="J206" s="34"/>
      <c r="K206" s="34">
        <f t="shared" si="28"/>
        <v>41999.760000000009</v>
      </c>
      <c r="L206" s="33"/>
      <c r="M206" s="34"/>
      <c r="N206" s="34"/>
      <c r="O206" s="34"/>
      <c r="P206" s="34"/>
      <c r="Q206" s="34"/>
      <c r="R206" s="34">
        <f t="shared" si="23"/>
        <v>40791.96</v>
      </c>
      <c r="S206" s="34">
        <f t="shared" si="24"/>
        <v>134271.72</v>
      </c>
      <c r="T206" s="34">
        <f t="shared" si="29"/>
        <v>134271.72</v>
      </c>
      <c r="U206" s="34"/>
      <c r="V206" s="34"/>
      <c r="W206" s="34"/>
      <c r="X206" s="34"/>
      <c r="Y206" s="34"/>
      <c r="Z206" s="34"/>
    </row>
    <row r="207" spans="1:26" ht="28.5" customHeight="1">
      <c r="A207" s="508" t="s">
        <v>1153</v>
      </c>
      <c r="B207" s="509">
        <v>1</v>
      </c>
      <c r="C207" s="510">
        <v>1105</v>
      </c>
      <c r="D207" s="509">
        <v>12</v>
      </c>
      <c r="E207" s="511">
        <v>44757.24</v>
      </c>
      <c r="F207" s="455" t="s">
        <v>1039</v>
      </c>
      <c r="G207" s="34">
        <f t="shared" si="25"/>
        <v>44757.24</v>
      </c>
      <c r="H207" s="34">
        <f t="shared" si="26"/>
        <v>900</v>
      </c>
      <c r="I207" s="34">
        <f t="shared" si="27"/>
        <v>3000</v>
      </c>
      <c r="J207" s="34"/>
      <c r="K207" s="34">
        <f t="shared" si="28"/>
        <v>13999.920000000002</v>
      </c>
      <c r="L207" s="33"/>
      <c r="M207" s="34"/>
      <c r="N207" s="34"/>
      <c r="O207" s="34"/>
      <c r="P207" s="34"/>
      <c r="Q207" s="34"/>
      <c r="R207" s="34">
        <f t="shared" si="23"/>
        <v>13597.32</v>
      </c>
      <c r="S207" s="34">
        <f t="shared" si="24"/>
        <v>44757.24</v>
      </c>
      <c r="T207" s="34">
        <f t="shared" si="29"/>
        <v>44757.24</v>
      </c>
      <c r="U207" s="34"/>
      <c r="V207" s="34"/>
      <c r="W207" s="34"/>
      <c r="X207" s="34"/>
      <c r="Y207" s="34"/>
      <c r="Z207" s="34"/>
    </row>
    <row r="208" spans="1:26" ht="28.5" customHeight="1">
      <c r="A208" s="508" t="s">
        <v>1154</v>
      </c>
      <c r="B208" s="509">
        <v>2</v>
      </c>
      <c r="C208" s="510">
        <v>1039</v>
      </c>
      <c r="D208" s="509">
        <v>12</v>
      </c>
      <c r="E208" s="511">
        <v>87930.48</v>
      </c>
      <c r="F208" s="455" t="s">
        <v>1039</v>
      </c>
      <c r="G208" s="34">
        <f t="shared" si="25"/>
        <v>87930.48</v>
      </c>
      <c r="H208" s="34">
        <f t="shared" si="26"/>
        <v>1800</v>
      </c>
      <c r="I208" s="34">
        <f t="shared" si="27"/>
        <v>6000</v>
      </c>
      <c r="J208" s="34"/>
      <c r="K208" s="34">
        <f t="shared" si="28"/>
        <v>27999.840000000004</v>
      </c>
      <c r="L208" s="33"/>
      <c r="M208" s="34"/>
      <c r="N208" s="34"/>
      <c r="O208" s="34"/>
      <c r="P208" s="34"/>
      <c r="Q208" s="34"/>
      <c r="R208" s="34">
        <f t="shared" si="23"/>
        <v>27194.639999999999</v>
      </c>
      <c r="S208" s="34">
        <f t="shared" si="24"/>
        <v>87930.48</v>
      </c>
      <c r="T208" s="34">
        <f t="shared" si="29"/>
        <v>87930.48</v>
      </c>
      <c r="U208" s="34"/>
      <c r="V208" s="34"/>
      <c r="W208" s="34"/>
      <c r="X208" s="34"/>
      <c r="Y208" s="34"/>
      <c r="Z208" s="34"/>
    </row>
    <row r="209" spans="1:26" ht="28.5" customHeight="1">
      <c r="A209" s="508" t="s">
        <v>1149</v>
      </c>
      <c r="B209" s="509">
        <v>1</v>
      </c>
      <c r="C209" s="510">
        <v>1074</v>
      </c>
      <c r="D209" s="509">
        <v>12</v>
      </c>
      <c r="E209" s="511">
        <v>44385.24</v>
      </c>
      <c r="F209" s="455" t="s">
        <v>1039</v>
      </c>
      <c r="G209" s="34">
        <f t="shared" si="25"/>
        <v>44385.24</v>
      </c>
      <c r="H209" s="34">
        <f t="shared" si="26"/>
        <v>900</v>
      </c>
      <c r="I209" s="34">
        <f t="shared" si="27"/>
        <v>3000</v>
      </c>
      <c r="J209" s="34"/>
      <c r="K209" s="34">
        <f t="shared" si="28"/>
        <v>13999.920000000002</v>
      </c>
      <c r="L209" s="33"/>
      <c r="M209" s="34"/>
      <c r="N209" s="34"/>
      <c r="O209" s="34"/>
      <c r="P209" s="34"/>
      <c r="Q209" s="34"/>
      <c r="R209" s="34">
        <f t="shared" si="23"/>
        <v>13597.32</v>
      </c>
      <c r="S209" s="34">
        <f t="shared" si="24"/>
        <v>44385.24</v>
      </c>
      <c r="T209" s="34">
        <f t="shared" si="29"/>
        <v>44385.24</v>
      </c>
      <c r="U209" s="34"/>
      <c r="V209" s="34"/>
      <c r="W209" s="34"/>
      <c r="X209" s="34"/>
      <c r="Y209" s="34"/>
      <c r="Z209" s="34"/>
    </row>
    <row r="210" spans="1:26" ht="28.5" customHeight="1">
      <c r="A210" s="512" t="s">
        <v>1155</v>
      </c>
      <c r="B210" s="509">
        <v>1</v>
      </c>
      <c r="C210" s="510">
        <v>1074</v>
      </c>
      <c r="D210" s="509">
        <v>12</v>
      </c>
      <c r="E210" s="511">
        <v>44385.24</v>
      </c>
      <c r="F210" s="455" t="s">
        <v>1039</v>
      </c>
      <c r="G210" s="34">
        <f t="shared" si="25"/>
        <v>44385.24</v>
      </c>
      <c r="H210" s="34">
        <f t="shared" si="26"/>
        <v>900</v>
      </c>
      <c r="I210" s="34">
        <f t="shared" si="27"/>
        <v>3000</v>
      </c>
      <c r="J210" s="34"/>
      <c r="K210" s="34">
        <f t="shared" si="28"/>
        <v>13999.920000000002</v>
      </c>
      <c r="L210" s="33"/>
      <c r="M210" s="34"/>
      <c r="N210" s="34"/>
      <c r="O210" s="34"/>
      <c r="P210" s="34"/>
      <c r="Q210" s="34"/>
      <c r="R210" s="34">
        <f t="shared" si="23"/>
        <v>13597.32</v>
      </c>
      <c r="S210" s="34">
        <f t="shared" si="24"/>
        <v>44385.24</v>
      </c>
      <c r="T210" s="34">
        <f t="shared" si="29"/>
        <v>44385.24</v>
      </c>
      <c r="U210" s="34"/>
      <c r="V210" s="34"/>
      <c r="W210" s="34"/>
      <c r="X210" s="34"/>
      <c r="Y210" s="34"/>
      <c r="Z210" s="34"/>
    </row>
    <row r="211" spans="1:26" ht="28.5" customHeight="1">
      <c r="A211" s="516" t="s">
        <v>1066</v>
      </c>
      <c r="B211" s="509">
        <v>31</v>
      </c>
      <c r="C211" s="517">
        <v>1039</v>
      </c>
      <c r="D211" s="509">
        <v>12</v>
      </c>
      <c r="E211" s="518">
        <v>1362922.44</v>
      </c>
      <c r="F211" s="455" t="s">
        <v>1039</v>
      </c>
      <c r="G211" s="34">
        <f t="shared" si="25"/>
        <v>1362922.44</v>
      </c>
      <c r="H211" s="34">
        <f t="shared" si="26"/>
        <v>27900</v>
      </c>
      <c r="I211" s="34">
        <f t="shared" si="27"/>
        <v>93000</v>
      </c>
      <c r="J211" s="34"/>
      <c r="K211" s="34">
        <f t="shared" si="28"/>
        <v>433997.52000000008</v>
      </c>
      <c r="L211" s="33"/>
      <c r="M211" s="34"/>
      <c r="N211" s="34"/>
      <c r="O211" s="34"/>
      <c r="P211" s="34"/>
      <c r="Q211" s="34"/>
      <c r="R211" s="34">
        <f t="shared" si="23"/>
        <v>421516.92</v>
      </c>
      <c r="S211" s="34">
        <f t="shared" si="24"/>
        <v>1362922.44</v>
      </c>
      <c r="T211" s="34">
        <f t="shared" si="29"/>
        <v>1362922.44</v>
      </c>
      <c r="U211" s="34"/>
      <c r="V211" s="34"/>
      <c r="W211" s="34"/>
      <c r="X211" s="34"/>
      <c r="Y211" s="34"/>
      <c r="Z211" s="34"/>
    </row>
    <row r="212" spans="1:26" ht="28.5" customHeight="1">
      <c r="A212" s="519" t="s">
        <v>1048</v>
      </c>
      <c r="B212" s="509">
        <v>1</v>
      </c>
      <c r="C212" s="517">
        <v>1991</v>
      </c>
      <c r="D212" s="509">
        <v>12</v>
      </c>
      <c r="E212" s="518">
        <v>55389.240000000005</v>
      </c>
      <c r="F212" s="455" t="s">
        <v>1039</v>
      </c>
      <c r="G212" s="34">
        <f t="shared" si="25"/>
        <v>55389.240000000005</v>
      </c>
      <c r="H212" s="34">
        <f t="shared" si="26"/>
        <v>900</v>
      </c>
      <c r="I212" s="34">
        <f t="shared" si="27"/>
        <v>3000</v>
      </c>
      <c r="J212" s="34"/>
      <c r="K212" s="34">
        <f t="shared" si="28"/>
        <v>13999.920000000002</v>
      </c>
      <c r="L212" s="33"/>
      <c r="M212" s="34"/>
      <c r="N212" s="34"/>
      <c r="O212" s="34"/>
      <c r="P212" s="34"/>
      <c r="Q212" s="34"/>
      <c r="R212" s="34">
        <f t="shared" si="23"/>
        <v>13597.32</v>
      </c>
      <c r="S212" s="34">
        <f t="shared" si="24"/>
        <v>55389.240000000005</v>
      </c>
      <c r="T212" s="34">
        <f t="shared" si="29"/>
        <v>55389.240000000005</v>
      </c>
      <c r="U212" s="34"/>
      <c r="V212" s="34"/>
      <c r="W212" s="34"/>
      <c r="X212" s="34"/>
      <c r="Y212" s="34"/>
      <c r="Z212" s="34"/>
    </row>
    <row r="213" spans="1:26" ht="28.5" customHeight="1">
      <c r="A213" s="516" t="s">
        <v>1057</v>
      </c>
      <c r="B213" s="509">
        <v>1</v>
      </c>
      <c r="C213" s="517">
        <v>1253</v>
      </c>
      <c r="D213" s="509">
        <v>12</v>
      </c>
      <c r="E213" s="518">
        <v>46233.24</v>
      </c>
      <c r="F213" s="455" t="s">
        <v>1039</v>
      </c>
      <c r="G213" s="34">
        <f t="shared" si="25"/>
        <v>46233.24</v>
      </c>
      <c r="H213" s="34">
        <f t="shared" si="26"/>
        <v>900</v>
      </c>
      <c r="I213" s="34">
        <f t="shared" si="27"/>
        <v>3000</v>
      </c>
      <c r="J213" s="34"/>
      <c r="K213" s="34">
        <f t="shared" si="28"/>
        <v>13999.920000000002</v>
      </c>
      <c r="L213" s="33"/>
      <c r="M213" s="34"/>
      <c r="N213" s="34"/>
      <c r="O213" s="34"/>
      <c r="P213" s="34"/>
      <c r="Q213" s="34"/>
      <c r="R213" s="34">
        <f t="shared" si="23"/>
        <v>13597.32</v>
      </c>
      <c r="S213" s="34">
        <f t="shared" si="24"/>
        <v>46233.24</v>
      </c>
      <c r="T213" s="34">
        <f t="shared" si="29"/>
        <v>46233.24</v>
      </c>
      <c r="U213" s="34"/>
      <c r="V213" s="34"/>
      <c r="W213" s="34"/>
      <c r="X213" s="34"/>
      <c r="Y213" s="34"/>
      <c r="Z213" s="34"/>
    </row>
    <row r="214" spans="1:26" ht="28.5" customHeight="1">
      <c r="A214" s="520" t="s">
        <v>1156</v>
      </c>
      <c r="B214" s="509">
        <v>8</v>
      </c>
      <c r="C214" s="517">
        <v>1159</v>
      </c>
      <c r="D214" s="509">
        <v>12</v>
      </c>
      <c r="E214" s="518">
        <v>363241.92</v>
      </c>
      <c r="F214" s="455" t="s">
        <v>1039</v>
      </c>
      <c r="G214" s="34">
        <f t="shared" si="25"/>
        <v>363241.92</v>
      </c>
      <c r="H214" s="34">
        <f t="shared" si="26"/>
        <v>7200</v>
      </c>
      <c r="I214" s="34">
        <f t="shared" si="27"/>
        <v>24000</v>
      </c>
      <c r="J214" s="34"/>
      <c r="K214" s="34">
        <f t="shared" si="28"/>
        <v>111999.36000000002</v>
      </c>
      <c r="L214" s="33"/>
      <c r="M214" s="34"/>
      <c r="N214" s="34"/>
      <c r="O214" s="34"/>
      <c r="P214" s="34"/>
      <c r="Q214" s="34"/>
      <c r="R214" s="34">
        <f t="shared" si="23"/>
        <v>108778.56</v>
      </c>
      <c r="S214" s="34">
        <f t="shared" si="24"/>
        <v>363241.92</v>
      </c>
      <c r="T214" s="34">
        <f t="shared" si="29"/>
        <v>363241.92</v>
      </c>
      <c r="U214" s="34"/>
      <c r="V214" s="34"/>
      <c r="W214" s="34"/>
      <c r="X214" s="34"/>
      <c r="Y214" s="34"/>
      <c r="Z214" s="34"/>
    </row>
    <row r="215" spans="1:26" ht="28.5" customHeight="1">
      <c r="A215" s="519" t="s">
        <v>1058</v>
      </c>
      <c r="B215" s="509">
        <v>4</v>
      </c>
      <c r="C215" s="517">
        <v>1246</v>
      </c>
      <c r="D215" s="509">
        <v>12</v>
      </c>
      <c r="E215" s="518">
        <v>185796.96</v>
      </c>
      <c r="F215" s="455" t="s">
        <v>1039</v>
      </c>
      <c r="G215" s="34">
        <f t="shared" si="25"/>
        <v>185796.96</v>
      </c>
      <c r="H215" s="34">
        <f t="shared" si="26"/>
        <v>3600</v>
      </c>
      <c r="I215" s="34">
        <f t="shared" si="27"/>
        <v>12000</v>
      </c>
      <c r="J215" s="34"/>
      <c r="K215" s="34">
        <f t="shared" si="28"/>
        <v>55999.680000000008</v>
      </c>
      <c r="L215" s="33"/>
      <c r="M215" s="34"/>
      <c r="N215" s="34"/>
      <c r="O215" s="34"/>
      <c r="P215" s="34"/>
      <c r="Q215" s="34"/>
      <c r="R215" s="34">
        <f t="shared" si="23"/>
        <v>54389.279999999999</v>
      </c>
      <c r="S215" s="34">
        <f t="shared" si="24"/>
        <v>185796.96</v>
      </c>
      <c r="T215" s="34">
        <f t="shared" si="29"/>
        <v>185796.96</v>
      </c>
      <c r="U215" s="34"/>
      <c r="V215" s="34"/>
      <c r="W215" s="34"/>
      <c r="X215" s="34"/>
      <c r="Y215" s="34"/>
      <c r="Z215" s="34"/>
    </row>
    <row r="216" spans="1:26" ht="28.5" customHeight="1">
      <c r="A216" s="519" t="s">
        <v>1040</v>
      </c>
      <c r="B216" s="509">
        <v>3</v>
      </c>
      <c r="C216" s="517">
        <v>1135</v>
      </c>
      <c r="D216" s="509">
        <v>12</v>
      </c>
      <c r="E216" s="518">
        <v>135351.72</v>
      </c>
      <c r="F216" s="455" t="s">
        <v>1039</v>
      </c>
      <c r="G216" s="34">
        <f t="shared" si="25"/>
        <v>135351.72</v>
      </c>
      <c r="H216" s="34">
        <f t="shared" si="26"/>
        <v>2700</v>
      </c>
      <c r="I216" s="34">
        <f t="shared" si="27"/>
        <v>9000</v>
      </c>
      <c r="J216" s="34"/>
      <c r="K216" s="34">
        <f t="shared" si="28"/>
        <v>41999.760000000009</v>
      </c>
      <c r="L216" s="33"/>
      <c r="M216" s="34"/>
      <c r="N216" s="34"/>
      <c r="O216" s="34"/>
      <c r="P216" s="34"/>
      <c r="Q216" s="34"/>
      <c r="R216" s="34">
        <f t="shared" si="23"/>
        <v>40791.96</v>
      </c>
      <c r="S216" s="34">
        <f t="shared" si="24"/>
        <v>135351.72</v>
      </c>
      <c r="T216" s="34">
        <f t="shared" si="29"/>
        <v>135351.72</v>
      </c>
      <c r="U216" s="34"/>
      <c r="V216" s="34"/>
      <c r="W216" s="34"/>
      <c r="X216" s="34"/>
      <c r="Y216" s="34"/>
      <c r="Z216" s="34"/>
    </row>
    <row r="217" spans="1:26" ht="28.5" customHeight="1">
      <c r="A217" s="519" t="s">
        <v>1041</v>
      </c>
      <c r="B217" s="509">
        <v>4</v>
      </c>
      <c r="C217" s="517">
        <v>1105</v>
      </c>
      <c r="D217" s="509">
        <v>12</v>
      </c>
      <c r="E217" s="518">
        <v>179028.96</v>
      </c>
      <c r="F217" s="455" t="s">
        <v>1039</v>
      </c>
      <c r="G217" s="34">
        <f t="shared" si="25"/>
        <v>179028.96</v>
      </c>
      <c r="H217" s="34">
        <f t="shared" si="26"/>
        <v>3600</v>
      </c>
      <c r="I217" s="34">
        <f t="shared" si="27"/>
        <v>12000</v>
      </c>
      <c r="J217" s="34"/>
      <c r="K217" s="34">
        <f t="shared" si="28"/>
        <v>55999.680000000008</v>
      </c>
      <c r="L217" s="33"/>
      <c r="M217" s="34"/>
      <c r="N217" s="34"/>
      <c r="O217" s="34"/>
      <c r="P217" s="34"/>
      <c r="Q217" s="34"/>
      <c r="R217" s="34">
        <f t="shared" si="23"/>
        <v>54389.279999999999</v>
      </c>
      <c r="S217" s="34">
        <f t="shared" si="24"/>
        <v>179028.96</v>
      </c>
      <c r="T217" s="34">
        <f t="shared" si="29"/>
        <v>179028.96</v>
      </c>
      <c r="U217" s="34"/>
      <c r="V217" s="34"/>
      <c r="W217" s="34"/>
      <c r="X217" s="34"/>
      <c r="Y217" s="34"/>
      <c r="Z217" s="34"/>
    </row>
    <row r="218" spans="1:26" ht="28.5" customHeight="1">
      <c r="A218" s="519" t="s">
        <v>1130</v>
      </c>
      <c r="B218" s="509">
        <v>1</v>
      </c>
      <c r="C218" s="517">
        <v>1074</v>
      </c>
      <c r="D218" s="509">
        <v>12</v>
      </c>
      <c r="E218" s="518">
        <v>44085.24</v>
      </c>
      <c r="F218" s="455" t="s">
        <v>1039</v>
      </c>
      <c r="G218" s="34">
        <f t="shared" si="25"/>
        <v>44085.24</v>
      </c>
      <c r="H218" s="34">
        <f t="shared" si="26"/>
        <v>900</v>
      </c>
      <c r="I218" s="34">
        <f t="shared" si="27"/>
        <v>3000</v>
      </c>
      <c r="J218" s="34"/>
      <c r="K218" s="34">
        <f t="shared" si="28"/>
        <v>13999.920000000002</v>
      </c>
      <c r="L218" s="33"/>
      <c r="M218" s="34"/>
      <c r="N218" s="34"/>
      <c r="O218" s="34"/>
      <c r="P218" s="34"/>
      <c r="Q218" s="34"/>
      <c r="R218" s="34">
        <f t="shared" si="23"/>
        <v>13597.32</v>
      </c>
      <c r="S218" s="34">
        <f t="shared" si="24"/>
        <v>44085.24</v>
      </c>
      <c r="T218" s="34">
        <f t="shared" si="29"/>
        <v>44085.24</v>
      </c>
      <c r="U218" s="34"/>
      <c r="V218" s="34"/>
      <c r="W218" s="34"/>
      <c r="X218" s="34"/>
      <c r="Y218" s="34"/>
      <c r="Z218" s="34"/>
    </row>
    <row r="219" spans="1:26" ht="28.5" customHeight="1">
      <c r="A219" s="519" t="s">
        <v>1051</v>
      </c>
      <c r="B219" s="509">
        <v>2</v>
      </c>
      <c r="C219" s="517">
        <v>1074</v>
      </c>
      <c r="D219" s="509">
        <v>12</v>
      </c>
      <c r="E219" s="518">
        <v>89514.48</v>
      </c>
      <c r="F219" s="455" t="s">
        <v>1039</v>
      </c>
      <c r="G219" s="34">
        <f t="shared" si="25"/>
        <v>89514.48</v>
      </c>
      <c r="H219" s="34">
        <f t="shared" si="26"/>
        <v>1800</v>
      </c>
      <c r="I219" s="34">
        <f t="shared" si="27"/>
        <v>6000</v>
      </c>
      <c r="J219" s="34"/>
      <c r="K219" s="34">
        <f t="shared" si="28"/>
        <v>27999.840000000004</v>
      </c>
      <c r="L219" s="33"/>
      <c r="M219" s="34"/>
      <c r="N219" s="34"/>
      <c r="O219" s="34"/>
      <c r="P219" s="34"/>
      <c r="Q219" s="34"/>
      <c r="R219" s="34">
        <f t="shared" si="23"/>
        <v>27194.639999999999</v>
      </c>
      <c r="S219" s="34">
        <f t="shared" si="24"/>
        <v>89514.48</v>
      </c>
      <c r="T219" s="34">
        <f t="shared" si="29"/>
        <v>89514.48</v>
      </c>
      <c r="U219" s="34"/>
      <c r="V219" s="34"/>
      <c r="W219" s="34"/>
      <c r="X219" s="34"/>
      <c r="Y219" s="34"/>
      <c r="Z219" s="34"/>
    </row>
    <row r="220" spans="1:26" ht="28.5" customHeight="1">
      <c r="A220" s="519" t="s">
        <v>1045</v>
      </c>
      <c r="B220" s="509">
        <v>1</v>
      </c>
      <c r="C220" s="517">
        <v>1246</v>
      </c>
      <c r="D220" s="509">
        <v>12</v>
      </c>
      <c r="E220" s="518">
        <v>46449.24</v>
      </c>
      <c r="F220" s="455" t="s">
        <v>1039</v>
      </c>
      <c r="G220" s="34">
        <f t="shared" si="25"/>
        <v>46449.24</v>
      </c>
      <c r="H220" s="34">
        <f t="shared" si="26"/>
        <v>900</v>
      </c>
      <c r="I220" s="34">
        <f t="shared" si="27"/>
        <v>3000</v>
      </c>
      <c r="J220" s="34"/>
      <c r="K220" s="34">
        <f t="shared" si="28"/>
        <v>13999.920000000002</v>
      </c>
      <c r="L220" s="33"/>
      <c r="M220" s="34"/>
      <c r="N220" s="34"/>
      <c r="O220" s="34"/>
      <c r="P220" s="34"/>
      <c r="Q220" s="34"/>
      <c r="R220" s="34">
        <f t="shared" si="23"/>
        <v>13597.32</v>
      </c>
      <c r="S220" s="34">
        <f t="shared" si="24"/>
        <v>46449.24</v>
      </c>
      <c r="T220" s="34">
        <f t="shared" si="29"/>
        <v>46449.24</v>
      </c>
      <c r="U220" s="34"/>
      <c r="V220" s="34"/>
      <c r="W220" s="34"/>
      <c r="X220" s="34"/>
      <c r="Y220" s="34"/>
      <c r="Z220" s="34"/>
    </row>
    <row r="221" spans="1:26" ht="28.5" customHeight="1">
      <c r="A221" s="519" t="s">
        <v>1157</v>
      </c>
      <c r="B221" s="509">
        <v>1</v>
      </c>
      <c r="C221" s="517">
        <v>1074</v>
      </c>
      <c r="D221" s="509">
        <v>12</v>
      </c>
      <c r="E221" s="518">
        <v>44385.24</v>
      </c>
      <c r="F221" s="455" t="s">
        <v>1039</v>
      </c>
      <c r="G221" s="34">
        <f t="shared" si="25"/>
        <v>44385.24</v>
      </c>
      <c r="H221" s="34">
        <f t="shared" si="26"/>
        <v>900</v>
      </c>
      <c r="I221" s="34">
        <f t="shared" si="27"/>
        <v>3000</v>
      </c>
      <c r="J221" s="34"/>
      <c r="K221" s="34">
        <f t="shared" si="28"/>
        <v>13999.920000000002</v>
      </c>
      <c r="L221" s="33"/>
      <c r="M221" s="34"/>
      <c r="N221" s="34"/>
      <c r="O221" s="34"/>
      <c r="P221" s="34"/>
      <c r="Q221" s="34"/>
      <c r="R221" s="34">
        <f t="shared" si="23"/>
        <v>13597.32</v>
      </c>
      <c r="S221" s="34">
        <f t="shared" si="24"/>
        <v>44385.24</v>
      </c>
      <c r="T221" s="34">
        <f t="shared" si="29"/>
        <v>44385.24</v>
      </c>
      <c r="U221" s="34"/>
      <c r="V221" s="34"/>
      <c r="W221" s="34"/>
      <c r="X221" s="34"/>
      <c r="Y221" s="34"/>
      <c r="Z221" s="34"/>
    </row>
    <row r="222" spans="1:26" ht="28.5" customHeight="1">
      <c r="A222" s="519" t="s">
        <v>1158</v>
      </c>
      <c r="B222" s="509">
        <v>1</v>
      </c>
      <c r="C222" s="517">
        <v>1381</v>
      </c>
      <c r="D222" s="509">
        <v>12</v>
      </c>
      <c r="E222" s="518">
        <v>47769.24</v>
      </c>
      <c r="F222" s="455" t="s">
        <v>1039</v>
      </c>
      <c r="G222" s="34">
        <f t="shared" si="25"/>
        <v>47769.24</v>
      </c>
      <c r="H222" s="34">
        <f t="shared" si="26"/>
        <v>900</v>
      </c>
      <c r="I222" s="34">
        <f t="shared" si="27"/>
        <v>3000</v>
      </c>
      <c r="J222" s="34"/>
      <c r="K222" s="34">
        <f t="shared" si="28"/>
        <v>13999.920000000002</v>
      </c>
      <c r="L222" s="33"/>
      <c r="M222" s="34"/>
      <c r="N222" s="34"/>
      <c r="O222" s="34"/>
      <c r="P222" s="34"/>
      <c r="Q222" s="34"/>
      <c r="R222" s="34">
        <f t="shared" si="23"/>
        <v>13597.32</v>
      </c>
      <c r="S222" s="34">
        <f t="shared" si="24"/>
        <v>47769.24</v>
      </c>
      <c r="T222" s="34">
        <f t="shared" si="29"/>
        <v>47769.24</v>
      </c>
      <c r="U222" s="34"/>
      <c r="V222" s="34"/>
      <c r="W222" s="34"/>
      <c r="X222" s="34"/>
      <c r="Y222" s="34"/>
      <c r="Z222" s="34"/>
    </row>
    <row r="223" spans="1:26" ht="28.5" customHeight="1">
      <c r="A223" s="508" t="s">
        <v>190</v>
      </c>
      <c r="B223" s="509">
        <v>1</v>
      </c>
      <c r="C223" s="510">
        <v>1039</v>
      </c>
      <c r="D223" s="509">
        <v>12</v>
      </c>
      <c r="E223" s="511">
        <v>43965.24</v>
      </c>
      <c r="F223" s="455" t="s">
        <v>1039</v>
      </c>
      <c r="G223" s="34">
        <f t="shared" si="25"/>
        <v>43965.24</v>
      </c>
      <c r="H223" s="34">
        <f t="shared" si="26"/>
        <v>900</v>
      </c>
      <c r="I223" s="34">
        <f t="shared" si="27"/>
        <v>3000</v>
      </c>
      <c r="J223" s="34"/>
      <c r="K223" s="34">
        <f t="shared" si="28"/>
        <v>13999.920000000002</v>
      </c>
      <c r="L223" s="33"/>
      <c r="M223" s="34"/>
      <c r="N223" s="34"/>
      <c r="O223" s="34"/>
      <c r="P223" s="34"/>
      <c r="Q223" s="34"/>
      <c r="R223" s="34">
        <f t="shared" si="23"/>
        <v>13597.32</v>
      </c>
      <c r="S223" s="34">
        <f t="shared" si="24"/>
        <v>43965.24</v>
      </c>
      <c r="T223" s="34">
        <f t="shared" si="29"/>
        <v>43965.24</v>
      </c>
      <c r="U223" s="34"/>
      <c r="V223" s="34"/>
      <c r="W223" s="34"/>
      <c r="X223" s="34"/>
      <c r="Y223" s="34"/>
      <c r="Z223" s="34"/>
    </row>
    <row r="224" spans="1:26" ht="28.5" customHeight="1">
      <c r="A224" s="512" t="s">
        <v>1040</v>
      </c>
      <c r="B224" s="509">
        <v>1</v>
      </c>
      <c r="C224" s="510">
        <v>1135</v>
      </c>
      <c r="D224" s="509">
        <v>12</v>
      </c>
      <c r="E224" s="511">
        <v>45117.24</v>
      </c>
      <c r="F224" s="455" t="s">
        <v>1039</v>
      </c>
      <c r="G224" s="34">
        <f t="shared" si="25"/>
        <v>45117.24</v>
      </c>
      <c r="H224" s="34">
        <f t="shared" si="26"/>
        <v>900</v>
      </c>
      <c r="I224" s="34">
        <f t="shared" si="27"/>
        <v>3000</v>
      </c>
      <c r="J224" s="34"/>
      <c r="K224" s="34">
        <f t="shared" si="28"/>
        <v>13999.920000000002</v>
      </c>
      <c r="L224" s="33"/>
      <c r="M224" s="34"/>
      <c r="N224" s="34"/>
      <c r="O224" s="34"/>
      <c r="P224" s="34"/>
      <c r="Q224" s="34"/>
      <c r="R224" s="34">
        <f t="shared" si="23"/>
        <v>13597.32</v>
      </c>
      <c r="S224" s="34">
        <f t="shared" si="24"/>
        <v>45117.24</v>
      </c>
      <c r="T224" s="34">
        <f t="shared" si="29"/>
        <v>45117.24</v>
      </c>
      <c r="U224" s="34"/>
      <c r="V224" s="34"/>
      <c r="W224" s="34"/>
      <c r="X224" s="34"/>
      <c r="Y224" s="34"/>
      <c r="Z224" s="34"/>
    </row>
    <row r="225" spans="1:26" ht="28.5" customHeight="1">
      <c r="A225" s="508" t="s">
        <v>1159</v>
      </c>
      <c r="B225" s="509">
        <v>1</v>
      </c>
      <c r="C225" s="510">
        <v>1105</v>
      </c>
      <c r="D225" s="509">
        <v>12</v>
      </c>
      <c r="E225" s="511">
        <v>44757.24</v>
      </c>
      <c r="F225" s="455" t="s">
        <v>1039</v>
      </c>
      <c r="G225" s="34">
        <f t="shared" si="25"/>
        <v>44757.24</v>
      </c>
      <c r="H225" s="34">
        <f t="shared" si="26"/>
        <v>900</v>
      </c>
      <c r="I225" s="34">
        <f t="shared" si="27"/>
        <v>3000</v>
      </c>
      <c r="J225" s="34"/>
      <c r="K225" s="34">
        <f t="shared" si="28"/>
        <v>13999.920000000002</v>
      </c>
      <c r="L225" s="33"/>
      <c r="M225" s="34"/>
      <c r="N225" s="34"/>
      <c r="O225" s="34"/>
      <c r="P225" s="34"/>
      <c r="Q225" s="34"/>
      <c r="R225" s="34">
        <f t="shared" si="23"/>
        <v>13597.32</v>
      </c>
      <c r="S225" s="34">
        <f t="shared" si="24"/>
        <v>44757.24</v>
      </c>
      <c r="T225" s="34">
        <f t="shared" si="29"/>
        <v>44757.24</v>
      </c>
      <c r="U225" s="34"/>
      <c r="V225" s="34"/>
      <c r="W225" s="34"/>
      <c r="X225" s="34"/>
      <c r="Y225" s="34"/>
      <c r="Z225" s="34"/>
    </row>
    <row r="226" spans="1:26" ht="28.5" customHeight="1">
      <c r="A226" s="508" t="s">
        <v>1160</v>
      </c>
      <c r="B226" s="509">
        <v>1</v>
      </c>
      <c r="C226" s="510">
        <v>1381</v>
      </c>
      <c r="D226" s="509">
        <v>12</v>
      </c>
      <c r="E226" s="511">
        <v>48069.24</v>
      </c>
      <c r="F226" s="455" t="s">
        <v>1039</v>
      </c>
      <c r="G226" s="34">
        <f t="shared" si="25"/>
        <v>48069.24</v>
      </c>
      <c r="H226" s="34">
        <f t="shared" si="26"/>
        <v>900</v>
      </c>
      <c r="I226" s="34">
        <f t="shared" si="27"/>
        <v>3000</v>
      </c>
      <c r="J226" s="34"/>
      <c r="K226" s="34">
        <f t="shared" si="28"/>
        <v>13999.920000000002</v>
      </c>
      <c r="L226" s="33"/>
      <c r="M226" s="34"/>
      <c r="N226" s="34"/>
      <c r="O226" s="34"/>
      <c r="P226" s="34"/>
      <c r="Q226" s="34"/>
      <c r="R226" s="34">
        <f t="shared" si="23"/>
        <v>13597.32</v>
      </c>
      <c r="S226" s="34">
        <f t="shared" si="24"/>
        <v>48069.24</v>
      </c>
      <c r="T226" s="34">
        <f t="shared" si="29"/>
        <v>48069.24</v>
      </c>
      <c r="U226" s="34"/>
      <c r="V226" s="34"/>
      <c r="W226" s="34"/>
      <c r="X226" s="34"/>
      <c r="Y226" s="34"/>
      <c r="Z226" s="34"/>
    </row>
    <row r="227" spans="1:26" ht="28.5" customHeight="1">
      <c r="A227" s="508" t="s">
        <v>1068</v>
      </c>
      <c r="B227" s="509">
        <v>1</v>
      </c>
      <c r="C227" s="510">
        <v>1460</v>
      </c>
      <c r="D227" s="509">
        <v>12</v>
      </c>
      <c r="E227" s="511">
        <v>44901.24</v>
      </c>
      <c r="F227" s="455" t="s">
        <v>1039</v>
      </c>
      <c r="G227" s="34">
        <f t="shared" si="25"/>
        <v>44901.24</v>
      </c>
      <c r="H227" s="34">
        <f t="shared" si="26"/>
        <v>900</v>
      </c>
      <c r="I227" s="34">
        <f t="shared" si="27"/>
        <v>3000</v>
      </c>
      <c r="J227" s="34"/>
      <c r="K227" s="34">
        <f t="shared" si="28"/>
        <v>13999.920000000002</v>
      </c>
      <c r="L227" s="33"/>
      <c r="M227" s="34"/>
      <c r="N227" s="34"/>
      <c r="O227" s="34"/>
      <c r="P227" s="34"/>
      <c r="Q227" s="34"/>
      <c r="R227" s="34">
        <f t="shared" si="23"/>
        <v>13597.32</v>
      </c>
      <c r="S227" s="34">
        <f t="shared" si="24"/>
        <v>44901.24</v>
      </c>
      <c r="T227" s="34">
        <f t="shared" si="29"/>
        <v>44901.24</v>
      </c>
      <c r="U227" s="34"/>
      <c r="V227" s="34"/>
      <c r="W227" s="34"/>
      <c r="X227" s="34"/>
      <c r="Y227" s="34"/>
      <c r="Z227" s="34"/>
    </row>
    <row r="228" spans="1:26" ht="28.5" customHeight="1">
      <c r="A228" s="508" t="s">
        <v>1161</v>
      </c>
      <c r="B228" s="509">
        <v>1</v>
      </c>
      <c r="C228" s="510">
        <v>1192</v>
      </c>
      <c r="D228" s="509">
        <v>12</v>
      </c>
      <c r="E228" s="511">
        <v>44901.24</v>
      </c>
      <c r="F228" s="455" t="s">
        <v>1039</v>
      </c>
      <c r="G228" s="34">
        <f t="shared" si="25"/>
        <v>44901.24</v>
      </c>
      <c r="H228" s="34">
        <f t="shared" si="26"/>
        <v>900</v>
      </c>
      <c r="I228" s="34">
        <f t="shared" si="27"/>
        <v>3000</v>
      </c>
      <c r="J228" s="34"/>
      <c r="K228" s="34">
        <f t="shared" si="28"/>
        <v>13999.920000000002</v>
      </c>
      <c r="L228" s="33"/>
      <c r="M228" s="34"/>
      <c r="N228" s="34"/>
      <c r="O228" s="34"/>
      <c r="P228" s="34"/>
      <c r="Q228" s="34"/>
      <c r="R228" s="34">
        <f t="shared" si="23"/>
        <v>13597.32</v>
      </c>
      <c r="S228" s="34">
        <f t="shared" si="24"/>
        <v>44901.24</v>
      </c>
      <c r="T228" s="34">
        <f t="shared" si="29"/>
        <v>44901.24</v>
      </c>
      <c r="U228" s="34"/>
      <c r="V228" s="34"/>
      <c r="W228" s="34"/>
      <c r="X228" s="34"/>
      <c r="Y228" s="34"/>
      <c r="Z228" s="34"/>
    </row>
    <row r="229" spans="1:26" ht="28.5" customHeight="1">
      <c r="A229" s="508" t="s">
        <v>1053</v>
      </c>
      <c r="B229" s="509">
        <v>1</v>
      </c>
      <c r="C229" s="510">
        <v>1381</v>
      </c>
      <c r="D229" s="509">
        <v>12</v>
      </c>
      <c r="E229" s="511">
        <v>48069.24</v>
      </c>
      <c r="F229" s="455" t="s">
        <v>1039</v>
      </c>
      <c r="G229" s="34">
        <f t="shared" si="25"/>
        <v>48069.24</v>
      </c>
      <c r="H229" s="34">
        <f t="shared" si="26"/>
        <v>900</v>
      </c>
      <c r="I229" s="34">
        <f t="shared" si="27"/>
        <v>3000</v>
      </c>
      <c r="J229" s="34"/>
      <c r="K229" s="34">
        <f t="shared" si="28"/>
        <v>13999.920000000002</v>
      </c>
      <c r="L229" s="33"/>
      <c r="M229" s="34"/>
      <c r="N229" s="34"/>
      <c r="O229" s="34"/>
      <c r="P229" s="34"/>
      <c r="Q229" s="34"/>
      <c r="R229" s="34">
        <f t="shared" si="23"/>
        <v>13597.32</v>
      </c>
      <c r="S229" s="34">
        <f t="shared" si="24"/>
        <v>48069.24</v>
      </c>
      <c r="T229" s="34">
        <f t="shared" si="29"/>
        <v>48069.24</v>
      </c>
      <c r="U229" s="34"/>
      <c r="V229" s="34"/>
      <c r="W229" s="34"/>
      <c r="X229" s="34"/>
      <c r="Y229" s="34"/>
      <c r="Z229" s="34"/>
    </row>
    <row r="230" spans="1:26" ht="28.5" customHeight="1">
      <c r="A230" s="508" t="s">
        <v>1162</v>
      </c>
      <c r="B230" s="509">
        <v>1</v>
      </c>
      <c r="C230" s="510">
        <v>1575</v>
      </c>
      <c r="D230" s="509">
        <v>12</v>
      </c>
      <c r="E230" s="511">
        <v>50397.240000000005</v>
      </c>
      <c r="F230" s="455" t="s">
        <v>1039</v>
      </c>
      <c r="G230" s="34">
        <f t="shared" si="25"/>
        <v>50397.240000000005</v>
      </c>
      <c r="H230" s="34">
        <f t="shared" si="26"/>
        <v>900</v>
      </c>
      <c r="I230" s="34">
        <f t="shared" si="27"/>
        <v>3000</v>
      </c>
      <c r="J230" s="34"/>
      <c r="K230" s="34">
        <f t="shared" si="28"/>
        <v>13999.920000000002</v>
      </c>
      <c r="L230" s="33"/>
      <c r="M230" s="34"/>
      <c r="N230" s="34"/>
      <c r="O230" s="34"/>
      <c r="P230" s="34"/>
      <c r="Q230" s="34"/>
      <c r="R230" s="34">
        <f t="shared" si="23"/>
        <v>13597.32</v>
      </c>
      <c r="S230" s="34">
        <f t="shared" si="24"/>
        <v>50397.240000000005</v>
      </c>
      <c r="T230" s="34">
        <f t="shared" si="29"/>
        <v>50397.240000000005</v>
      </c>
      <c r="U230" s="34"/>
      <c r="V230" s="34"/>
      <c r="W230" s="34"/>
      <c r="X230" s="34"/>
      <c r="Y230" s="34"/>
      <c r="Z230" s="34"/>
    </row>
    <row r="231" spans="1:26" ht="28.5" customHeight="1">
      <c r="A231" s="515" t="s">
        <v>1136</v>
      </c>
      <c r="B231" s="509">
        <v>2</v>
      </c>
      <c r="C231" s="510">
        <v>1831</v>
      </c>
      <c r="D231" s="509">
        <v>12</v>
      </c>
      <c r="E231" s="511">
        <v>106938.48000000001</v>
      </c>
      <c r="F231" s="455" t="s">
        <v>1039</v>
      </c>
      <c r="G231" s="34">
        <f t="shared" si="25"/>
        <v>106938.48000000001</v>
      </c>
      <c r="H231" s="34">
        <f t="shared" si="26"/>
        <v>1800</v>
      </c>
      <c r="I231" s="34">
        <f t="shared" si="27"/>
        <v>6000</v>
      </c>
      <c r="J231" s="34"/>
      <c r="K231" s="34">
        <f t="shared" si="28"/>
        <v>27999.840000000004</v>
      </c>
      <c r="L231" s="33"/>
      <c r="M231" s="34"/>
      <c r="N231" s="34"/>
      <c r="O231" s="34"/>
      <c r="P231" s="34"/>
      <c r="Q231" s="34"/>
      <c r="R231" s="34">
        <f t="shared" si="23"/>
        <v>27194.639999999999</v>
      </c>
      <c r="S231" s="34">
        <f t="shared" si="24"/>
        <v>106938.48000000001</v>
      </c>
      <c r="T231" s="34">
        <f t="shared" si="29"/>
        <v>106938.48000000001</v>
      </c>
      <c r="U231" s="34"/>
      <c r="V231" s="34"/>
      <c r="W231" s="34"/>
      <c r="X231" s="34"/>
      <c r="Y231" s="34"/>
      <c r="Z231" s="34"/>
    </row>
    <row r="232" spans="1:26" ht="28.5" customHeight="1">
      <c r="A232" s="512" t="s">
        <v>1058</v>
      </c>
      <c r="B232" s="509">
        <v>1</v>
      </c>
      <c r="C232" s="513">
        <v>1246</v>
      </c>
      <c r="D232" s="509">
        <v>12</v>
      </c>
      <c r="E232" s="514">
        <v>46449.24</v>
      </c>
      <c r="F232" s="455" t="s">
        <v>1039</v>
      </c>
      <c r="G232" s="34">
        <f t="shared" si="25"/>
        <v>46449.24</v>
      </c>
      <c r="H232" s="34">
        <f t="shared" si="26"/>
        <v>900</v>
      </c>
      <c r="I232" s="34">
        <f t="shared" si="27"/>
        <v>3000</v>
      </c>
      <c r="J232" s="34"/>
      <c r="K232" s="34">
        <f t="shared" si="28"/>
        <v>13999.920000000002</v>
      </c>
      <c r="L232" s="33"/>
      <c r="M232" s="34"/>
      <c r="N232" s="34"/>
      <c r="O232" s="34"/>
      <c r="P232" s="34"/>
      <c r="Q232" s="34"/>
      <c r="R232" s="34">
        <f t="shared" si="23"/>
        <v>13597.32</v>
      </c>
      <c r="S232" s="34">
        <f t="shared" si="24"/>
        <v>46449.24</v>
      </c>
      <c r="T232" s="34">
        <f t="shared" si="29"/>
        <v>46449.24</v>
      </c>
      <c r="U232" s="34"/>
      <c r="V232" s="34"/>
      <c r="W232" s="34"/>
      <c r="X232" s="34"/>
      <c r="Y232" s="34"/>
      <c r="Z232" s="34"/>
    </row>
    <row r="233" spans="1:26" ht="28.5" customHeight="1">
      <c r="A233" s="508" t="s">
        <v>1163</v>
      </c>
      <c r="B233" s="509">
        <v>1</v>
      </c>
      <c r="C233" s="510">
        <v>1381</v>
      </c>
      <c r="D233" s="509">
        <v>12</v>
      </c>
      <c r="E233" s="511">
        <v>48069.24</v>
      </c>
      <c r="F233" s="455" t="s">
        <v>1039</v>
      </c>
      <c r="G233" s="34">
        <f t="shared" si="25"/>
        <v>48069.24</v>
      </c>
      <c r="H233" s="34">
        <f t="shared" si="26"/>
        <v>900</v>
      </c>
      <c r="I233" s="34">
        <f t="shared" si="27"/>
        <v>3000</v>
      </c>
      <c r="J233" s="34"/>
      <c r="K233" s="34">
        <f t="shared" si="28"/>
        <v>13999.920000000002</v>
      </c>
      <c r="L233" s="33"/>
      <c r="M233" s="34"/>
      <c r="N233" s="34"/>
      <c r="O233" s="34"/>
      <c r="P233" s="34"/>
      <c r="Q233" s="34"/>
      <c r="R233" s="34">
        <f t="shared" si="23"/>
        <v>13597.32</v>
      </c>
      <c r="S233" s="34">
        <f t="shared" si="24"/>
        <v>48069.24</v>
      </c>
      <c r="T233" s="34">
        <f t="shared" si="29"/>
        <v>48069.24</v>
      </c>
      <c r="U233" s="34"/>
      <c r="V233" s="34"/>
      <c r="W233" s="34"/>
      <c r="X233" s="34"/>
      <c r="Y233" s="34"/>
      <c r="Z233" s="34"/>
    </row>
    <row r="234" spans="1:26" ht="28.5" customHeight="1">
      <c r="A234" s="508" t="s">
        <v>1164</v>
      </c>
      <c r="B234" s="509">
        <v>1</v>
      </c>
      <c r="C234" s="510">
        <v>1192</v>
      </c>
      <c r="D234" s="509">
        <v>12</v>
      </c>
      <c r="E234" s="511">
        <v>45801.24</v>
      </c>
      <c r="F234" s="455" t="s">
        <v>1039</v>
      </c>
      <c r="G234" s="34">
        <f t="shared" si="25"/>
        <v>45801.24</v>
      </c>
      <c r="H234" s="34">
        <f t="shared" si="26"/>
        <v>900</v>
      </c>
      <c r="I234" s="34">
        <f t="shared" si="27"/>
        <v>3000</v>
      </c>
      <c r="J234" s="34"/>
      <c r="K234" s="34">
        <f t="shared" si="28"/>
        <v>13999.920000000002</v>
      </c>
      <c r="L234" s="33"/>
      <c r="M234" s="34"/>
      <c r="N234" s="34"/>
      <c r="O234" s="34"/>
      <c r="P234" s="34"/>
      <c r="Q234" s="34"/>
      <c r="R234" s="34">
        <f t="shared" si="23"/>
        <v>13597.32</v>
      </c>
      <c r="S234" s="34">
        <f t="shared" si="24"/>
        <v>45801.24</v>
      </c>
      <c r="T234" s="34">
        <f t="shared" si="29"/>
        <v>45801.24</v>
      </c>
      <c r="U234" s="34"/>
      <c r="V234" s="34"/>
      <c r="W234" s="34"/>
      <c r="X234" s="34"/>
      <c r="Y234" s="34"/>
      <c r="Z234" s="34"/>
    </row>
    <row r="235" spans="1:26" ht="28.5" customHeight="1">
      <c r="A235" s="521" t="s">
        <v>1165</v>
      </c>
      <c r="B235" s="509">
        <v>1</v>
      </c>
      <c r="C235" s="510">
        <v>1105</v>
      </c>
      <c r="D235" s="509">
        <v>12</v>
      </c>
      <c r="E235" s="511">
        <v>44757.24</v>
      </c>
      <c r="F235" s="455" t="s">
        <v>1039</v>
      </c>
      <c r="G235" s="34">
        <f t="shared" si="25"/>
        <v>44757.24</v>
      </c>
      <c r="H235" s="34">
        <f t="shared" si="26"/>
        <v>900</v>
      </c>
      <c r="I235" s="34">
        <f t="shared" si="27"/>
        <v>3000</v>
      </c>
      <c r="J235" s="34"/>
      <c r="K235" s="34">
        <f t="shared" si="28"/>
        <v>13999.920000000002</v>
      </c>
      <c r="L235" s="33"/>
      <c r="M235" s="34"/>
      <c r="N235" s="34"/>
      <c r="O235" s="34"/>
      <c r="P235" s="34"/>
      <c r="Q235" s="34"/>
      <c r="R235" s="34">
        <f t="shared" si="23"/>
        <v>13597.32</v>
      </c>
      <c r="S235" s="34">
        <f t="shared" si="24"/>
        <v>44757.24</v>
      </c>
      <c r="T235" s="34">
        <f t="shared" si="29"/>
        <v>44757.24</v>
      </c>
      <c r="U235" s="34"/>
      <c r="V235" s="34"/>
      <c r="W235" s="34"/>
      <c r="X235" s="34"/>
      <c r="Y235" s="34"/>
      <c r="Z235" s="34"/>
    </row>
    <row r="236" spans="1:26" ht="28.5" customHeight="1">
      <c r="A236" s="522" t="s">
        <v>1125</v>
      </c>
      <c r="B236" s="523">
        <v>1</v>
      </c>
      <c r="C236" s="524">
        <v>1039</v>
      </c>
      <c r="D236" s="523">
        <v>12</v>
      </c>
      <c r="E236" s="525">
        <v>43965.24</v>
      </c>
      <c r="F236" s="526" t="s">
        <v>1039</v>
      </c>
      <c r="G236" s="34">
        <f t="shared" si="25"/>
        <v>43965.24</v>
      </c>
      <c r="H236" s="34">
        <f t="shared" si="26"/>
        <v>900</v>
      </c>
      <c r="I236" s="34">
        <f t="shared" si="27"/>
        <v>3000</v>
      </c>
      <c r="J236" s="34"/>
      <c r="K236" s="34">
        <f t="shared" si="28"/>
        <v>13999.920000000002</v>
      </c>
      <c r="L236" s="33"/>
      <c r="M236" s="34"/>
      <c r="N236" s="34"/>
      <c r="O236" s="34"/>
      <c r="P236" s="34"/>
      <c r="Q236" s="34"/>
      <c r="R236" s="34">
        <f t="shared" si="23"/>
        <v>13597.32</v>
      </c>
      <c r="S236" s="34">
        <f t="shared" si="24"/>
        <v>43965.24</v>
      </c>
      <c r="T236" s="34">
        <f t="shared" si="29"/>
        <v>43965.24</v>
      </c>
      <c r="U236" s="34"/>
      <c r="V236" s="34"/>
      <c r="W236" s="34"/>
      <c r="X236" s="34"/>
      <c r="Y236" s="34"/>
      <c r="Z236" s="34"/>
    </row>
    <row r="237" spans="1:26" ht="28.5" customHeight="1">
      <c r="A237" s="472"/>
      <c r="B237" s="453">
        <f>SUM(B7:B236)</f>
        <v>564</v>
      </c>
      <c r="C237" s="497"/>
      <c r="D237" s="30"/>
      <c r="E237" s="32"/>
      <c r="F237" s="30"/>
      <c r="G237" s="34"/>
      <c r="H237" s="34"/>
      <c r="I237" s="34"/>
      <c r="J237" s="34"/>
      <c r="K237" s="34"/>
      <c r="L237" s="33"/>
      <c r="M237" s="34"/>
      <c r="N237" s="34"/>
      <c r="O237" s="34"/>
      <c r="P237" s="34"/>
      <c r="Q237" s="34"/>
      <c r="R237" s="34"/>
      <c r="S237" s="34">
        <f t="shared" si="24"/>
        <v>0</v>
      </c>
      <c r="T237" s="34">
        <f t="shared" si="29"/>
        <v>0</v>
      </c>
      <c r="U237" s="34"/>
      <c r="V237" s="34"/>
      <c r="W237" s="34"/>
      <c r="X237" s="34"/>
      <c r="Y237" s="34"/>
      <c r="Z237" s="34"/>
    </row>
    <row r="238" spans="1:26" s="149" customFormat="1" ht="28.5" customHeight="1">
      <c r="A238" s="527" t="s">
        <v>1166</v>
      </c>
      <c r="B238" s="30">
        <v>1</v>
      </c>
      <c r="C238" s="528">
        <v>5011</v>
      </c>
      <c r="D238" s="30">
        <v>12</v>
      </c>
      <c r="E238" s="32">
        <f>+D238*C238</f>
        <v>60132</v>
      </c>
      <c r="F238" s="529" t="s">
        <v>1167</v>
      </c>
      <c r="G238" s="34"/>
      <c r="H238" s="34"/>
      <c r="I238" s="34"/>
      <c r="J238" s="34"/>
      <c r="K238" s="34"/>
      <c r="L238" s="33">
        <f>+E238</f>
        <v>60132</v>
      </c>
      <c r="M238" s="34"/>
      <c r="N238" s="34"/>
      <c r="O238" s="528">
        <v>2000</v>
      </c>
      <c r="P238" s="34"/>
      <c r="Q238" s="34"/>
      <c r="R238" s="34"/>
      <c r="S238" s="528">
        <v>7011</v>
      </c>
      <c r="T238" s="528">
        <v>7011</v>
      </c>
      <c r="U238" s="528"/>
      <c r="V238" s="528"/>
      <c r="W238" s="528"/>
      <c r="X238" s="528"/>
      <c r="Y238" s="528"/>
      <c r="Z238" s="528"/>
    </row>
    <row r="239" spans="1:26" s="149" customFormat="1" ht="28.5" customHeight="1">
      <c r="A239" s="527" t="s">
        <v>1168</v>
      </c>
      <c r="B239" s="30">
        <v>1</v>
      </c>
      <c r="C239" s="528">
        <v>8387</v>
      </c>
      <c r="D239" s="30">
        <v>12</v>
      </c>
      <c r="E239" s="32">
        <f t="shared" ref="E239:E242" si="30">+D239*C239</f>
        <v>100644</v>
      </c>
      <c r="F239" s="529" t="s">
        <v>1167</v>
      </c>
      <c r="G239" s="34"/>
      <c r="H239" s="34"/>
      <c r="I239" s="34"/>
      <c r="J239" s="34"/>
      <c r="K239" s="34"/>
      <c r="L239" s="33">
        <f t="shared" ref="L239:L242" si="31">+E239</f>
        <v>100644</v>
      </c>
      <c r="M239" s="34"/>
      <c r="N239" s="34"/>
      <c r="O239" s="528">
        <v>2000</v>
      </c>
      <c r="P239" s="34"/>
      <c r="Q239" s="34"/>
      <c r="R239" s="34"/>
      <c r="S239" s="528">
        <v>10387</v>
      </c>
      <c r="T239" s="528">
        <v>10387</v>
      </c>
      <c r="U239" s="528"/>
      <c r="V239" s="528"/>
      <c r="W239" s="528"/>
      <c r="X239" s="528"/>
      <c r="Y239" s="528"/>
      <c r="Z239" s="528"/>
    </row>
    <row r="240" spans="1:26" s="149" customFormat="1" ht="28.5" customHeight="1">
      <c r="A240" s="527" t="s">
        <v>1169</v>
      </c>
      <c r="B240" s="30">
        <v>1</v>
      </c>
      <c r="C240" s="528">
        <v>6067</v>
      </c>
      <c r="D240" s="30">
        <v>12</v>
      </c>
      <c r="E240" s="32">
        <f t="shared" si="30"/>
        <v>72804</v>
      </c>
      <c r="F240" s="529" t="s">
        <v>1167</v>
      </c>
      <c r="G240" s="34"/>
      <c r="H240" s="34"/>
      <c r="I240" s="34"/>
      <c r="J240" s="34"/>
      <c r="K240" s="34"/>
      <c r="L240" s="33">
        <f t="shared" si="31"/>
        <v>72804</v>
      </c>
      <c r="M240" s="34"/>
      <c r="N240" s="34"/>
      <c r="O240" s="528">
        <v>2000</v>
      </c>
      <c r="P240" s="34"/>
      <c r="Q240" s="34"/>
      <c r="R240" s="34"/>
      <c r="S240" s="528">
        <v>8067</v>
      </c>
      <c r="T240" s="528">
        <v>8067</v>
      </c>
      <c r="U240" s="528"/>
      <c r="V240" s="528"/>
      <c r="W240" s="528"/>
      <c r="X240" s="528"/>
      <c r="Y240" s="528"/>
      <c r="Z240" s="528"/>
    </row>
    <row r="241" spans="1:26" s="149" customFormat="1" ht="28.5" customHeight="1">
      <c r="A241" s="527" t="s">
        <v>1170</v>
      </c>
      <c r="B241" s="30">
        <v>1</v>
      </c>
      <c r="C241" s="528">
        <v>6925</v>
      </c>
      <c r="D241" s="30">
        <v>12</v>
      </c>
      <c r="E241" s="32">
        <f t="shared" si="30"/>
        <v>83100</v>
      </c>
      <c r="F241" s="529" t="s">
        <v>1167</v>
      </c>
      <c r="G241" s="34"/>
      <c r="H241" s="34"/>
      <c r="I241" s="34"/>
      <c r="J241" s="34"/>
      <c r="K241" s="34"/>
      <c r="L241" s="33">
        <f t="shared" si="31"/>
        <v>83100</v>
      </c>
      <c r="M241" s="34"/>
      <c r="N241" s="34"/>
      <c r="O241" s="528">
        <v>2000</v>
      </c>
      <c r="P241" s="34"/>
      <c r="Q241" s="34"/>
      <c r="R241" s="34"/>
      <c r="S241" s="528">
        <v>8925</v>
      </c>
      <c r="T241" s="528">
        <v>8925</v>
      </c>
      <c r="U241" s="528"/>
      <c r="V241" s="528"/>
      <c r="W241" s="528"/>
      <c r="X241" s="528"/>
      <c r="Y241" s="528"/>
      <c r="Z241" s="528"/>
    </row>
    <row r="242" spans="1:26" s="149" customFormat="1" ht="28.5" customHeight="1">
      <c r="A242" s="527" t="s">
        <v>1171</v>
      </c>
      <c r="B242" s="30">
        <v>1</v>
      </c>
      <c r="C242" s="528">
        <v>5539</v>
      </c>
      <c r="D242" s="30">
        <v>12</v>
      </c>
      <c r="E242" s="32">
        <f t="shared" si="30"/>
        <v>66468</v>
      </c>
      <c r="F242" s="529" t="s">
        <v>1167</v>
      </c>
      <c r="G242" s="34"/>
      <c r="H242" s="34"/>
      <c r="I242" s="34"/>
      <c r="J242" s="34"/>
      <c r="K242" s="34"/>
      <c r="L242" s="33">
        <f t="shared" si="31"/>
        <v>66468</v>
      </c>
      <c r="M242" s="34"/>
      <c r="N242" s="34"/>
      <c r="O242" s="528">
        <v>2000</v>
      </c>
      <c r="P242" s="34"/>
      <c r="Q242" s="34"/>
      <c r="R242" s="34"/>
      <c r="S242" s="528">
        <v>7539</v>
      </c>
      <c r="T242" s="528">
        <v>7539</v>
      </c>
      <c r="U242" s="528"/>
      <c r="V242" s="528"/>
      <c r="W242" s="528"/>
      <c r="X242" s="528"/>
      <c r="Y242" s="528"/>
      <c r="Z242" s="528"/>
    </row>
    <row r="243" spans="1:26" ht="28.5" customHeight="1">
      <c r="A243" s="527" t="s">
        <v>1172</v>
      </c>
      <c r="B243" s="30">
        <v>1</v>
      </c>
      <c r="C243" s="530">
        <v>25000</v>
      </c>
      <c r="D243" s="30">
        <v>12</v>
      </c>
      <c r="E243" s="32">
        <f>+D243*C243*B243</f>
        <v>300000</v>
      </c>
      <c r="F243" s="529" t="s">
        <v>1173</v>
      </c>
      <c r="G243" s="34"/>
      <c r="H243" s="34"/>
      <c r="I243" s="34"/>
      <c r="J243" s="34"/>
      <c r="K243" s="34"/>
      <c r="L243" s="33"/>
      <c r="M243" s="34">
        <f>+E243</f>
        <v>300000</v>
      </c>
      <c r="N243" s="530">
        <v>375</v>
      </c>
      <c r="O243" s="530">
        <v>250</v>
      </c>
      <c r="P243" s="34"/>
      <c r="Q243" s="34"/>
      <c r="R243" s="34"/>
      <c r="S243" s="34">
        <v>25375</v>
      </c>
      <c r="T243" s="34">
        <v>25375</v>
      </c>
      <c r="U243" s="34"/>
      <c r="V243" s="34"/>
      <c r="W243" s="34"/>
      <c r="X243" s="34"/>
      <c r="Y243" s="34"/>
      <c r="Z243" s="34"/>
    </row>
    <row r="244" spans="1:26" ht="28.5" customHeight="1">
      <c r="A244" s="527" t="s">
        <v>1174</v>
      </c>
      <c r="B244" s="30">
        <v>1</v>
      </c>
      <c r="C244" s="530">
        <v>20000</v>
      </c>
      <c r="D244" s="30">
        <v>12</v>
      </c>
      <c r="E244" s="32">
        <f t="shared" ref="E244:E307" si="32">+D244*C244*B244</f>
        <v>240000</v>
      </c>
      <c r="F244" s="529" t="s">
        <v>1173</v>
      </c>
      <c r="G244" s="34"/>
      <c r="H244" s="34"/>
      <c r="I244" s="34"/>
      <c r="J244" s="34"/>
      <c r="K244" s="34"/>
      <c r="L244" s="33"/>
      <c r="M244" s="34">
        <f t="shared" ref="M244:M275" si="33">+E244</f>
        <v>240000</v>
      </c>
      <c r="N244" s="530">
        <v>375</v>
      </c>
      <c r="O244" s="530">
        <v>250</v>
      </c>
      <c r="P244" s="34"/>
      <c r="Q244" s="34"/>
      <c r="R244" s="34"/>
      <c r="S244" s="34">
        <v>20375</v>
      </c>
      <c r="T244" s="34">
        <v>20375</v>
      </c>
      <c r="U244" s="34"/>
      <c r="V244" s="34"/>
      <c r="W244" s="34"/>
      <c r="X244" s="34"/>
      <c r="Y244" s="34"/>
      <c r="Z244" s="34"/>
    </row>
    <row r="245" spans="1:26" ht="28.5" customHeight="1">
      <c r="A245" s="527" t="s">
        <v>1175</v>
      </c>
      <c r="B245" s="30">
        <v>1</v>
      </c>
      <c r="C245" s="530">
        <v>20000</v>
      </c>
      <c r="D245" s="30">
        <v>12</v>
      </c>
      <c r="E245" s="32">
        <f t="shared" si="32"/>
        <v>240000</v>
      </c>
      <c r="F245" s="529" t="s">
        <v>1173</v>
      </c>
      <c r="G245" s="34"/>
      <c r="H245" s="34"/>
      <c r="I245" s="34"/>
      <c r="J245" s="34"/>
      <c r="K245" s="34"/>
      <c r="L245" s="33"/>
      <c r="M245" s="34">
        <f t="shared" si="33"/>
        <v>240000</v>
      </c>
      <c r="N245" s="530">
        <v>375</v>
      </c>
      <c r="O245" s="530">
        <v>250</v>
      </c>
      <c r="P245" s="34"/>
      <c r="Q245" s="34"/>
      <c r="R245" s="34"/>
      <c r="S245" s="34">
        <v>20375</v>
      </c>
      <c r="T245" s="34">
        <v>20375</v>
      </c>
      <c r="U245" s="34"/>
      <c r="V245" s="34"/>
      <c r="W245" s="34"/>
      <c r="X245" s="34"/>
      <c r="Y245" s="34"/>
      <c r="Z245" s="34"/>
    </row>
    <row r="246" spans="1:26" ht="28.5" customHeight="1">
      <c r="A246" s="527" t="s">
        <v>1176</v>
      </c>
      <c r="B246" s="30">
        <v>1</v>
      </c>
      <c r="C246" s="530">
        <v>11000</v>
      </c>
      <c r="D246" s="30">
        <v>12</v>
      </c>
      <c r="E246" s="32">
        <f t="shared" si="32"/>
        <v>132000</v>
      </c>
      <c r="F246" s="529" t="s">
        <v>1173</v>
      </c>
      <c r="G246" s="34"/>
      <c r="H246" s="34"/>
      <c r="I246" s="34"/>
      <c r="J246" s="34"/>
      <c r="K246" s="34"/>
      <c r="L246" s="33"/>
      <c r="M246" s="34">
        <f t="shared" si="33"/>
        <v>132000</v>
      </c>
      <c r="N246" s="530">
        <v>375</v>
      </c>
      <c r="O246" s="530">
        <v>250</v>
      </c>
      <c r="P246" s="34"/>
      <c r="Q246" s="34"/>
      <c r="R246" s="34"/>
      <c r="S246" s="34">
        <v>11375</v>
      </c>
      <c r="T246" s="34">
        <v>11375</v>
      </c>
      <c r="U246" s="34"/>
      <c r="V246" s="34"/>
      <c r="W246" s="34"/>
      <c r="X246" s="34"/>
      <c r="Y246" s="34"/>
      <c r="Z246" s="34"/>
    </row>
    <row r="247" spans="1:26" ht="28.5" customHeight="1">
      <c r="A247" s="527" t="s">
        <v>1177</v>
      </c>
      <c r="B247" s="30">
        <v>1</v>
      </c>
      <c r="C247" s="530">
        <v>18500</v>
      </c>
      <c r="D247" s="30">
        <v>12</v>
      </c>
      <c r="E247" s="32">
        <f t="shared" si="32"/>
        <v>222000</v>
      </c>
      <c r="F247" s="529" t="s">
        <v>1173</v>
      </c>
      <c r="G247" s="34"/>
      <c r="H247" s="34"/>
      <c r="I247" s="34"/>
      <c r="J247" s="34"/>
      <c r="K247" s="34"/>
      <c r="L247" s="33"/>
      <c r="M247" s="34">
        <f t="shared" si="33"/>
        <v>222000</v>
      </c>
      <c r="N247" s="530">
        <v>375</v>
      </c>
      <c r="O247" s="530">
        <v>250</v>
      </c>
      <c r="P247" s="34"/>
      <c r="Q247" s="34"/>
      <c r="R247" s="34"/>
      <c r="S247" s="34">
        <v>18875</v>
      </c>
      <c r="T247" s="34">
        <v>18875</v>
      </c>
      <c r="U247" s="34"/>
      <c r="V247" s="34"/>
      <c r="W247" s="34"/>
      <c r="X247" s="34"/>
      <c r="Y247" s="34"/>
      <c r="Z247" s="34"/>
    </row>
    <row r="248" spans="1:26" ht="28.5" customHeight="1">
      <c r="A248" s="527" t="s">
        <v>89</v>
      </c>
      <c r="B248" s="30">
        <v>1</v>
      </c>
      <c r="C248" s="530">
        <v>13000</v>
      </c>
      <c r="D248" s="30">
        <v>12</v>
      </c>
      <c r="E248" s="32">
        <f t="shared" si="32"/>
        <v>156000</v>
      </c>
      <c r="F248" s="529" t="s">
        <v>1173</v>
      </c>
      <c r="G248" s="34"/>
      <c r="H248" s="34"/>
      <c r="I248" s="34"/>
      <c r="J248" s="34"/>
      <c r="K248" s="34"/>
      <c r="L248" s="33"/>
      <c r="M248" s="34">
        <f t="shared" si="33"/>
        <v>156000</v>
      </c>
      <c r="N248" s="530">
        <v>375</v>
      </c>
      <c r="O248" s="530">
        <v>250</v>
      </c>
      <c r="P248" s="34"/>
      <c r="Q248" s="34"/>
      <c r="R248" s="34"/>
      <c r="S248" s="34">
        <v>13375</v>
      </c>
      <c r="T248" s="34">
        <v>13375</v>
      </c>
      <c r="U248" s="34"/>
      <c r="V248" s="34"/>
      <c r="W248" s="34"/>
      <c r="X248" s="34"/>
      <c r="Y248" s="34"/>
      <c r="Z248" s="34"/>
    </row>
    <row r="249" spans="1:26" ht="28.5" customHeight="1">
      <c r="A249" s="527" t="s">
        <v>51</v>
      </c>
      <c r="B249" s="30">
        <v>1</v>
      </c>
      <c r="C249" s="530">
        <v>15500</v>
      </c>
      <c r="D249" s="30">
        <v>12</v>
      </c>
      <c r="E249" s="32">
        <f t="shared" si="32"/>
        <v>186000</v>
      </c>
      <c r="F249" s="529" t="s">
        <v>1173</v>
      </c>
      <c r="G249" s="33"/>
      <c r="H249" s="33"/>
      <c r="I249" s="33"/>
      <c r="J249" s="33"/>
      <c r="K249" s="33"/>
      <c r="L249" s="33"/>
      <c r="M249" s="34">
        <f t="shared" si="33"/>
        <v>186000</v>
      </c>
      <c r="N249" s="530">
        <v>375</v>
      </c>
      <c r="O249" s="530">
        <v>250</v>
      </c>
      <c r="P249" s="33"/>
      <c r="Q249" s="33"/>
      <c r="R249" s="33"/>
      <c r="S249" s="34">
        <v>15875</v>
      </c>
      <c r="T249" s="34">
        <v>15875</v>
      </c>
      <c r="U249" s="34"/>
      <c r="V249" s="34"/>
      <c r="W249" s="34"/>
      <c r="X249" s="34"/>
      <c r="Y249" s="34"/>
      <c r="Z249" s="34"/>
    </row>
    <row r="250" spans="1:26" ht="28.5" customHeight="1">
      <c r="A250" s="527" t="s">
        <v>1178</v>
      </c>
      <c r="B250" s="30">
        <v>1</v>
      </c>
      <c r="C250" s="530">
        <v>15500</v>
      </c>
      <c r="D250" s="30">
        <v>12</v>
      </c>
      <c r="E250" s="32">
        <f t="shared" si="32"/>
        <v>186000</v>
      </c>
      <c r="F250" s="529" t="s">
        <v>1173</v>
      </c>
      <c r="G250" s="34"/>
      <c r="H250" s="34"/>
      <c r="I250" s="34"/>
      <c r="J250" s="34"/>
      <c r="K250" s="34"/>
      <c r="L250" s="33"/>
      <c r="M250" s="34">
        <f t="shared" si="33"/>
        <v>186000</v>
      </c>
      <c r="N250" s="530">
        <v>375</v>
      </c>
      <c r="O250" s="530">
        <v>250</v>
      </c>
      <c r="P250" s="33"/>
      <c r="Q250" s="34"/>
      <c r="R250" s="34"/>
      <c r="S250" s="34">
        <v>15875</v>
      </c>
      <c r="T250" s="34">
        <v>15875</v>
      </c>
      <c r="U250" s="34"/>
      <c r="V250" s="34"/>
      <c r="W250" s="34"/>
      <c r="X250" s="34"/>
      <c r="Y250" s="34"/>
      <c r="Z250" s="34"/>
    </row>
    <row r="251" spans="1:26" ht="28.5" customHeight="1">
      <c r="A251" s="527" t="s">
        <v>1179</v>
      </c>
      <c r="B251" s="30">
        <v>1</v>
      </c>
      <c r="C251" s="530">
        <v>6750</v>
      </c>
      <c r="D251" s="30">
        <v>12</v>
      </c>
      <c r="E251" s="32">
        <f t="shared" si="32"/>
        <v>81000</v>
      </c>
      <c r="F251" s="529" t="s">
        <v>1173</v>
      </c>
      <c r="G251" s="34"/>
      <c r="H251" s="34"/>
      <c r="I251" s="34"/>
      <c r="J251" s="34"/>
      <c r="K251" s="34"/>
      <c r="L251" s="33"/>
      <c r="M251" s="34">
        <f t="shared" si="33"/>
        <v>81000</v>
      </c>
      <c r="N251" s="530">
        <v>375</v>
      </c>
      <c r="O251" s="530">
        <v>250</v>
      </c>
      <c r="P251" s="33"/>
      <c r="Q251" s="34"/>
      <c r="R251" s="34"/>
      <c r="S251" s="39">
        <v>7125</v>
      </c>
      <c r="T251" s="34">
        <v>7125</v>
      </c>
      <c r="U251" s="39"/>
      <c r="V251" s="39"/>
      <c r="W251" s="39"/>
      <c r="X251" s="39"/>
      <c r="Y251" s="39"/>
      <c r="Z251" s="39"/>
    </row>
    <row r="252" spans="1:26" ht="28.5" customHeight="1">
      <c r="A252" s="527" t="s">
        <v>1180</v>
      </c>
      <c r="B252" s="30">
        <v>1</v>
      </c>
      <c r="C252" s="530">
        <v>12750</v>
      </c>
      <c r="D252" s="30">
        <v>12</v>
      </c>
      <c r="E252" s="32">
        <f t="shared" si="32"/>
        <v>153000</v>
      </c>
      <c r="F252" s="529" t="s">
        <v>1173</v>
      </c>
      <c r="G252" s="34"/>
      <c r="H252" s="34"/>
      <c r="I252" s="34"/>
      <c r="J252" s="34"/>
      <c r="K252" s="34"/>
      <c r="L252" s="33"/>
      <c r="M252" s="34">
        <f t="shared" si="33"/>
        <v>153000</v>
      </c>
      <c r="N252" s="530">
        <v>375</v>
      </c>
      <c r="O252" s="530">
        <v>250</v>
      </c>
      <c r="P252" s="33"/>
      <c r="Q252" s="34"/>
      <c r="R252" s="34"/>
      <c r="S252" s="39">
        <v>13125</v>
      </c>
      <c r="T252" s="34">
        <v>13125</v>
      </c>
      <c r="U252" s="39"/>
      <c r="V252" s="39"/>
      <c r="W252" s="39"/>
      <c r="X252" s="39"/>
      <c r="Y252" s="39"/>
      <c r="Z252" s="39"/>
    </row>
    <row r="253" spans="1:26" ht="28.5" customHeight="1">
      <c r="A253" s="527" t="s">
        <v>1181</v>
      </c>
      <c r="B253" s="30">
        <v>1</v>
      </c>
      <c r="C253" s="530">
        <v>12750</v>
      </c>
      <c r="D253" s="30">
        <v>12</v>
      </c>
      <c r="E253" s="32">
        <f t="shared" si="32"/>
        <v>153000</v>
      </c>
      <c r="F253" s="529" t="s">
        <v>1173</v>
      </c>
      <c r="G253" s="34"/>
      <c r="H253" s="34"/>
      <c r="I253" s="34"/>
      <c r="J253" s="34"/>
      <c r="K253" s="34"/>
      <c r="L253" s="33"/>
      <c r="M253" s="34">
        <f t="shared" si="33"/>
        <v>153000</v>
      </c>
      <c r="N253" s="530">
        <v>375</v>
      </c>
      <c r="O253" s="530">
        <v>250</v>
      </c>
      <c r="P253" s="33"/>
      <c r="Q253" s="34"/>
      <c r="R253" s="34"/>
      <c r="S253" s="39">
        <v>13125</v>
      </c>
      <c r="T253" s="34">
        <v>13125</v>
      </c>
      <c r="U253" s="39"/>
      <c r="V253" s="39"/>
      <c r="W253" s="39"/>
      <c r="X253" s="39"/>
      <c r="Y253" s="39"/>
      <c r="Z253" s="39"/>
    </row>
    <row r="254" spans="1:26" ht="28.5" customHeight="1">
      <c r="A254" s="527" t="s">
        <v>1182</v>
      </c>
      <c r="B254" s="30">
        <v>1</v>
      </c>
      <c r="C254" s="530">
        <v>12750</v>
      </c>
      <c r="D254" s="30">
        <v>12</v>
      </c>
      <c r="E254" s="32">
        <f t="shared" si="32"/>
        <v>153000</v>
      </c>
      <c r="F254" s="529" t="s">
        <v>1173</v>
      </c>
      <c r="G254" s="34"/>
      <c r="H254" s="34"/>
      <c r="I254" s="34"/>
      <c r="J254" s="34"/>
      <c r="K254" s="34"/>
      <c r="L254" s="33"/>
      <c r="M254" s="34">
        <f t="shared" si="33"/>
        <v>153000</v>
      </c>
      <c r="N254" s="530">
        <v>375</v>
      </c>
      <c r="O254" s="530">
        <v>250</v>
      </c>
      <c r="P254" s="33"/>
      <c r="Q254" s="34"/>
      <c r="R254" s="34"/>
      <c r="S254" s="39">
        <v>13125</v>
      </c>
      <c r="T254" s="34">
        <v>13125</v>
      </c>
      <c r="U254" s="39"/>
      <c r="V254" s="39"/>
      <c r="W254" s="39"/>
      <c r="X254" s="39"/>
      <c r="Y254" s="39"/>
      <c r="Z254" s="39"/>
    </row>
    <row r="255" spans="1:26" ht="28.5" customHeight="1">
      <c r="A255" s="531" t="s">
        <v>195</v>
      </c>
      <c r="B255" s="30">
        <v>1</v>
      </c>
      <c r="C255" s="530">
        <v>15250</v>
      </c>
      <c r="D255" s="30">
        <v>12</v>
      </c>
      <c r="E255" s="32">
        <f t="shared" si="32"/>
        <v>183000</v>
      </c>
      <c r="F255" s="529" t="s">
        <v>1173</v>
      </c>
      <c r="G255" s="34"/>
      <c r="H255" s="34"/>
      <c r="I255" s="34"/>
      <c r="J255" s="34"/>
      <c r="K255" s="34"/>
      <c r="L255" s="33"/>
      <c r="M255" s="34">
        <f t="shared" si="33"/>
        <v>183000</v>
      </c>
      <c r="N255" s="530">
        <v>375</v>
      </c>
      <c r="O255" s="530">
        <v>250</v>
      </c>
      <c r="P255" s="33"/>
      <c r="Q255" s="34"/>
      <c r="R255" s="34"/>
      <c r="S255" s="39">
        <v>15625</v>
      </c>
      <c r="T255" s="34">
        <v>15625</v>
      </c>
      <c r="U255" s="39"/>
      <c r="V255" s="39"/>
      <c r="W255" s="39"/>
      <c r="X255" s="39"/>
      <c r="Y255" s="39"/>
      <c r="Z255" s="39"/>
    </row>
    <row r="256" spans="1:26" ht="28.5" customHeight="1">
      <c r="A256" s="531" t="s">
        <v>1183</v>
      </c>
      <c r="B256" s="30">
        <v>1</v>
      </c>
      <c r="C256" s="530">
        <v>12250</v>
      </c>
      <c r="D256" s="30">
        <v>12</v>
      </c>
      <c r="E256" s="32">
        <f t="shared" si="32"/>
        <v>147000</v>
      </c>
      <c r="F256" s="529" t="s">
        <v>1173</v>
      </c>
      <c r="G256" s="34"/>
      <c r="H256" s="34"/>
      <c r="I256" s="34"/>
      <c r="J256" s="34"/>
      <c r="K256" s="34"/>
      <c r="L256" s="33"/>
      <c r="M256" s="34">
        <f t="shared" si="33"/>
        <v>147000</v>
      </c>
      <c r="N256" s="530">
        <v>375</v>
      </c>
      <c r="O256" s="530">
        <v>250</v>
      </c>
      <c r="P256" s="33"/>
      <c r="Q256" s="34"/>
      <c r="R256" s="34"/>
      <c r="S256" s="39">
        <v>12625</v>
      </c>
      <c r="T256" s="34">
        <v>12625</v>
      </c>
      <c r="U256" s="39"/>
      <c r="V256" s="39"/>
      <c r="W256" s="39"/>
      <c r="X256" s="39"/>
      <c r="Y256" s="39"/>
      <c r="Z256" s="39"/>
    </row>
    <row r="257" spans="1:26" ht="28.5" customHeight="1">
      <c r="A257" s="527" t="s">
        <v>1184</v>
      </c>
      <c r="B257" s="30">
        <v>3</v>
      </c>
      <c r="C257" s="530">
        <v>10250</v>
      </c>
      <c r="D257" s="30">
        <v>12</v>
      </c>
      <c r="E257" s="32">
        <f t="shared" si="32"/>
        <v>369000</v>
      </c>
      <c r="F257" s="529" t="s">
        <v>1173</v>
      </c>
      <c r="G257" s="34"/>
      <c r="H257" s="34"/>
      <c r="I257" s="34"/>
      <c r="J257" s="34"/>
      <c r="K257" s="34"/>
      <c r="L257" s="33"/>
      <c r="M257" s="34">
        <f t="shared" si="33"/>
        <v>369000</v>
      </c>
      <c r="N257" s="530">
        <f>375*B257</f>
        <v>1125</v>
      </c>
      <c r="O257" s="530">
        <f>250*B257</f>
        <v>750</v>
      </c>
      <c r="P257" s="33"/>
      <c r="Q257" s="34"/>
      <c r="R257" s="34"/>
      <c r="S257" s="39">
        <f>10625*B257</f>
        <v>31875</v>
      </c>
      <c r="T257" s="34">
        <f>10625*B257</f>
        <v>31875</v>
      </c>
      <c r="U257" s="39"/>
      <c r="V257" s="39"/>
      <c r="W257" s="39"/>
      <c r="X257" s="39"/>
      <c r="Y257" s="39"/>
      <c r="Z257" s="39"/>
    </row>
    <row r="258" spans="1:26" ht="28.5" customHeight="1">
      <c r="A258" s="527" t="s">
        <v>1185</v>
      </c>
      <c r="B258" s="30">
        <v>1</v>
      </c>
      <c r="C258" s="530">
        <v>20000</v>
      </c>
      <c r="D258" s="30">
        <v>12</v>
      </c>
      <c r="E258" s="32">
        <f t="shared" si="32"/>
        <v>240000</v>
      </c>
      <c r="F258" s="529" t="s">
        <v>1173</v>
      </c>
      <c r="G258" s="34"/>
      <c r="H258" s="34"/>
      <c r="I258" s="34"/>
      <c r="J258" s="34"/>
      <c r="K258" s="34"/>
      <c r="L258" s="33"/>
      <c r="M258" s="34">
        <f t="shared" si="33"/>
        <v>240000</v>
      </c>
      <c r="N258" s="530">
        <v>375</v>
      </c>
      <c r="O258" s="530">
        <v>250</v>
      </c>
      <c r="P258" s="33"/>
      <c r="Q258" s="34"/>
      <c r="R258" s="34"/>
      <c r="S258" s="39">
        <v>20375</v>
      </c>
      <c r="T258" s="34">
        <v>20375</v>
      </c>
      <c r="U258" s="39"/>
      <c r="V258" s="39"/>
      <c r="W258" s="39"/>
      <c r="X258" s="39"/>
      <c r="Y258" s="39"/>
      <c r="Z258" s="39"/>
    </row>
    <row r="259" spans="1:26" ht="28.5" customHeight="1">
      <c r="A259" s="527" t="s">
        <v>1186</v>
      </c>
      <c r="B259" s="30">
        <v>1</v>
      </c>
      <c r="C259" s="530">
        <v>15750</v>
      </c>
      <c r="D259" s="30">
        <v>12</v>
      </c>
      <c r="E259" s="32">
        <f t="shared" si="32"/>
        <v>189000</v>
      </c>
      <c r="F259" s="529" t="s">
        <v>1173</v>
      </c>
      <c r="G259" s="34"/>
      <c r="H259" s="34"/>
      <c r="I259" s="34"/>
      <c r="J259" s="34"/>
      <c r="K259" s="34"/>
      <c r="L259" s="33"/>
      <c r="M259" s="34">
        <f t="shared" si="33"/>
        <v>189000</v>
      </c>
      <c r="N259" s="530">
        <v>375</v>
      </c>
      <c r="O259" s="530">
        <v>250</v>
      </c>
      <c r="P259" s="33"/>
      <c r="Q259" s="34"/>
      <c r="R259" s="34"/>
      <c r="S259" s="39">
        <v>16125</v>
      </c>
      <c r="T259" s="34">
        <v>16125</v>
      </c>
      <c r="U259" s="39"/>
      <c r="V259" s="39"/>
      <c r="W259" s="39"/>
      <c r="X259" s="39"/>
      <c r="Y259" s="39"/>
      <c r="Z259" s="39"/>
    </row>
    <row r="260" spans="1:26" ht="28.5" customHeight="1">
      <c r="A260" s="527" t="s">
        <v>1187</v>
      </c>
      <c r="B260" s="30">
        <v>1</v>
      </c>
      <c r="C260" s="530">
        <v>15250</v>
      </c>
      <c r="D260" s="30">
        <v>12</v>
      </c>
      <c r="E260" s="32">
        <f t="shared" si="32"/>
        <v>183000</v>
      </c>
      <c r="F260" s="529" t="s">
        <v>1173</v>
      </c>
      <c r="G260" s="34"/>
      <c r="H260" s="34"/>
      <c r="I260" s="34"/>
      <c r="J260" s="34"/>
      <c r="K260" s="34"/>
      <c r="L260" s="33"/>
      <c r="M260" s="34">
        <f t="shared" si="33"/>
        <v>183000</v>
      </c>
      <c r="N260" s="530">
        <v>375</v>
      </c>
      <c r="O260" s="530">
        <v>250</v>
      </c>
      <c r="P260" s="33"/>
      <c r="Q260" s="34"/>
      <c r="R260" s="34"/>
      <c r="S260" s="39">
        <v>15625</v>
      </c>
      <c r="T260" s="34">
        <v>15625</v>
      </c>
      <c r="U260" s="39"/>
      <c r="V260" s="39"/>
      <c r="W260" s="39"/>
      <c r="X260" s="39"/>
      <c r="Y260" s="39"/>
      <c r="Z260" s="39"/>
    </row>
    <row r="261" spans="1:26" ht="28.5" customHeight="1">
      <c r="A261" s="527" t="s">
        <v>1188</v>
      </c>
      <c r="B261" s="30">
        <v>1</v>
      </c>
      <c r="C261" s="530">
        <v>17250</v>
      </c>
      <c r="D261" s="30">
        <v>12</v>
      </c>
      <c r="E261" s="32">
        <f t="shared" si="32"/>
        <v>207000</v>
      </c>
      <c r="F261" s="529" t="s">
        <v>1173</v>
      </c>
      <c r="G261" s="33"/>
      <c r="H261" s="33"/>
      <c r="I261" s="33"/>
      <c r="J261" s="33"/>
      <c r="K261" s="33"/>
      <c r="L261" s="33"/>
      <c r="M261" s="34">
        <f t="shared" si="33"/>
        <v>207000</v>
      </c>
      <c r="N261" s="530">
        <v>375</v>
      </c>
      <c r="O261" s="530">
        <v>250</v>
      </c>
      <c r="P261" s="33"/>
      <c r="Q261" s="33"/>
      <c r="R261" s="33"/>
      <c r="S261" s="39">
        <v>17625</v>
      </c>
      <c r="T261" s="34">
        <v>17625</v>
      </c>
      <c r="U261" s="39"/>
      <c r="V261" s="39"/>
      <c r="W261" s="39"/>
      <c r="X261" s="39"/>
      <c r="Y261" s="39"/>
      <c r="Z261" s="39"/>
    </row>
    <row r="262" spans="1:26" ht="28.5" customHeight="1">
      <c r="A262" s="527" t="s">
        <v>1189</v>
      </c>
      <c r="B262" s="30">
        <v>1</v>
      </c>
      <c r="C262" s="530">
        <v>20000</v>
      </c>
      <c r="D262" s="30">
        <v>12</v>
      </c>
      <c r="E262" s="32">
        <f t="shared" si="32"/>
        <v>240000</v>
      </c>
      <c r="F262" s="529" t="s">
        <v>1173</v>
      </c>
      <c r="G262" s="34"/>
      <c r="H262" s="34"/>
      <c r="I262" s="34"/>
      <c r="J262" s="34"/>
      <c r="K262" s="34"/>
      <c r="L262" s="33"/>
      <c r="M262" s="34">
        <f t="shared" si="33"/>
        <v>240000</v>
      </c>
      <c r="N262" s="530">
        <v>375</v>
      </c>
      <c r="O262" s="530">
        <v>250</v>
      </c>
      <c r="P262" s="33"/>
      <c r="Q262" s="34"/>
      <c r="R262" s="34"/>
      <c r="S262" s="39">
        <v>20375</v>
      </c>
      <c r="T262" s="34">
        <v>20375</v>
      </c>
      <c r="U262" s="39"/>
      <c r="V262" s="39"/>
      <c r="W262" s="39"/>
      <c r="X262" s="39"/>
      <c r="Y262" s="39"/>
      <c r="Z262" s="39"/>
    </row>
    <row r="263" spans="1:26" ht="28.5" customHeight="1">
      <c r="A263" s="527" t="s">
        <v>1190</v>
      </c>
      <c r="B263" s="30">
        <v>1</v>
      </c>
      <c r="C263" s="530">
        <v>20000</v>
      </c>
      <c r="D263" s="30">
        <v>12</v>
      </c>
      <c r="E263" s="32">
        <f t="shared" si="32"/>
        <v>240000</v>
      </c>
      <c r="F263" s="529" t="s">
        <v>1173</v>
      </c>
      <c r="G263" s="34"/>
      <c r="H263" s="34"/>
      <c r="I263" s="34"/>
      <c r="J263" s="34"/>
      <c r="K263" s="34"/>
      <c r="L263" s="33"/>
      <c r="M263" s="34">
        <f t="shared" si="33"/>
        <v>240000</v>
      </c>
      <c r="N263" s="530">
        <v>375</v>
      </c>
      <c r="O263" s="530">
        <v>250</v>
      </c>
      <c r="P263" s="33"/>
      <c r="Q263" s="34"/>
      <c r="R263" s="34"/>
      <c r="S263" s="39">
        <v>20375</v>
      </c>
      <c r="T263" s="34">
        <v>20375</v>
      </c>
      <c r="U263" s="39"/>
      <c r="V263" s="39"/>
      <c r="W263" s="39"/>
      <c r="X263" s="39"/>
      <c r="Y263" s="39"/>
      <c r="Z263" s="39"/>
    </row>
    <row r="264" spans="1:26" ht="28.5" customHeight="1">
      <c r="A264" s="527" t="s">
        <v>1191</v>
      </c>
      <c r="B264" s="30">
        <v>3</v>
      </c>
      <c r="C264" s="530">
        <v>19250</v>
      </c>
      <c r="D264" s="30">
        <v>12</v>
      </c>
      <c r="E264" s="32">
        <f t="shared" si="32"/>
        <v>693000</v>
      </c>
      <c r="F264" s="529" t="s">
        <v>1173</v>
      </c>
      <c r="G264" s="34"/>
      <c r="H264" s="34"/>
      <c r="I264" s="34"/>
      <c r="J264" s="34"/>
      <c r="K264" s="34"/>
      <c r="L264" s="33"/>
      <c r="M264" s="34">
        <f t="shared" si="33"/>
        <v>693000</v>
      </c>
      <c r="N264" s="530">
        <f>375*B264</f>
        <v>1125</v>
      </c>
      <c r="O264" s="530">
        <f>250*B264</f>
        <v>750</v>
      </c>
      <c r="P264" s="33"/>
      <c r="Q264" s="34"/>
      <c r="R264" s="34"/>
      <c r="S264" s="39">
        <f>19625*B264</f>
        <v>58875</v>
      </c>
      <c r="T264" s="34">
        <f>19625*B264</f>
        <v>58875</v>
      </c>
      <c r="U264" s="39"/>
      <c r="V264" s="39"/>
      <c r="W264" s="39"/>
      <c r="X264" s="39"/>
      <c r="Y264" s="39"/>
      <c r="Z264" s="39"/>
    </row>
    <row r="265" spans="1:26" ht="28.5" customHeight="1">
      <c r="A265" s="527" t="s">
        <v>526</v>
      </c>
      <c r="B265" s="30">
        <v>1</v>
      </c>
      <c r="C265" s="530">
        <v>19250</v>
      </c>
      <c r="D265" s="30">
        <v>12</v>
      </c>
      <c r="E265" s="32">
        <f t="shared" si="32"/>
        <v>231000</v>
      </c>
      <c r="F265" s="529" t="s">
        <v>1173</v>
      </c>
      <c r="G265" s="34"/>
      <c r="H265" s="34"/>
      <c r="I265" s="34"/>
      <c r="J265" s="34"/>
      <c r="K265" s="34"/>
      <c r="L265" s="33"/>
      <c r="M265" s="34">
        <f t="shared" si="33"/>
        <v>231000</v>
      </c>
      <c r="N265" s="530">
        <v>375</v>
      </c>
      <c r="O265" s="530">
        <v>250</v>
      </c>
      <c r="P265" s="33"/>
      <c r="Q265" s="34"/>
      <c r="R265" s="34"/>
      <c r="S265" s="34">
        <v>19625</v>
      </c>
      <c r="T265" s="34">
        <v>19625</v>
      </c>
      <c r="U265" s="34"/>
      <c r="V265" s="34"/>
      <c r="W265" s="34"/>
      <c r="X265" s="34"/>
      <c r="Y265" s="34"/>
      <c r="Z265" s="34"/>
    </row>
    <row r="266" spans="1:26" ht="28.5" customHeight="1">
      <c r="A266" s="527" t="s">
        <v>1192</v>
      </c>
      <c r="B266" s="30">
        <v>1</v>
      </c>
      <c r="C266" s="530">
        <v>11250</v>
      </c>
      <c r="D266" s="30">
        <v>12</v>
      </c>
      <c r="E266" s="32">
        <f t="shared" si="32"/>
        <v>135000</v>
      </c>
      <c r="F266" s="529" t="s">
        <v>1173</v>
      </c>
      <c r="G266" s="34"/>
      <c r="H266" s="34"/>
      <c r="I266" s="34"/>
      <c r="J266" s="34"/>
      <c r="K266" s="34"/>
      <c r="L266" s="33"/>
      <c r="M266" s="34">
        <f t="shared" si="33"/>
        <v>135000</v>
      </c>
      <c r="N266" s="530">
        <v>375</v>
      </c>
      <c r="O266" s="530">
        <v>250</v>
      </c>
      <c r="P266" s="33"/>
      <c r="Q266" s="34"/>
      <c r="R266" s="34"/>
      <c r="S266" s="34">
        <v>11625</v>
      </c>
      <c r="T266" s="34">
        <v>11625</v>
      </c>
      <c r="U266" s="34"/>
      <c r="V266" s="34"/>
      <c r="W266" s="34"/>
      <c r="X266" s="34"/>
      <c r="Y266" s="34"/>
      <c r="Z266" s="34"/>
    </row>
    <row r="267" spans="1:26" ht="28.5" customHeight="1">
      <c r="A267" s="532" t="s">
        <v>1193</v>
      </c>
      <c r="B267" s="30">
        <v>1</v>
      </c>
      <c r="C267" s="530">
        <v>9750</v>
      </c>
      <c r="D267" s="30">
        <v>12</v>
      </c>
      <c r="E267" s="32">
        <f t="shared" si="32"/>
        <v>117000</v>
      </c>
      <c r="F267" s="529" t="s">
        <v>1173</v>
      </c>
      <c r="G267" s="34"/>
      <c r="H267" s="34"/>
      <c r="I267" s="34"/>
      <c r="J267" s="34"/>
      <c r="K267" s="34"/>
      <c r="L267" s="33"/>
      <c r="M267" s="34">
        <f t="shared" si="33"/>
        <v>117000</v>
      </c>
      <c r="N267" s="533">
        <v>375</v>
      </c>
      <c r="O267" s="530">
        <v>250</v>
      </c>
      <c r="P267" s="33"/>
      <c r="Q267" s="34"/>
      <c r="R267" s="34"/>
      <c r="S267" s="34">
        <v>10125</v>
      </c>
      <c r="T267" s="34">
        <v>10125</v>
      </c>
      <c r="U267" s="34"/>
      <c r="V267" s="34"/>
      <c r="W267" s="34"/>
      <c r="X267" s="34"/>
      <c r="Y267" s="34"/>
      <c r="Z267" s="34"/>
    </row>
    <row r="268" spans="1:26" ht="28.5" customHeight="1">
      <c r="A268" s="527" t="s">
        <v>1194</v>
      </c>
      <c r="B268" s="30">
        <v>1</v>
      </c>
      <c r="C268" s="530">
        <v>20000</v>
      </c>
      <c r="D268" s="30">
        <v>12</v>
      </c>
      <c r="E268" s="32">
        <f t="shared" si="32"/>
        <v>240000</v>
      </c>
      <c r="F268" s="529" t="s">
        <v>1173</v>
      </c>
      <c r="G268" s="34"/>
      <c r="H268" s="34"/>
      <c r="I268" s="34"/>
      <c r="J268" s="34"/>
      <c r="K268" s="34"/>
      <c r="L268" s="33"/>
      <c r="M268" s="34">
        <f t="shared" si="33"/>
        <v>240000</v>
      </c>
      <c r="N268" s="530">
        <v>375</v>
      </c>
      <c r="O268" s="530">
        <v>250</v>
      </c>
      <c r="P268" s="33"/>
      <c r="Q268" s="34"/>
      <c r="R268" s="34"/>
      <c r="S268" s="34">
        <v>20375</v>
      </c>
      <c r="T268" s="34">
        <v>20375</v>
      </c>
      <c r="U268" s="34"/>
      <c r="V268" s="34"/>
      <c r="W268" s="34"/>
      <c r="X268" s="34"/>
      <c r="Y268" s="34"/>
      <c r="Z268" s="34"/>
    </row>
    <row r="269" spans="1:26" ht="28.5" customHeight="1">
      <c r="A269" s="527" t="s">
        <v>1195</v>
      </c>
      <c r="B269" s="30">
        <v>1</v>
      </c>
      <c r="C269" s="530">
        <v>17250</v>
      </c>
      <c r="D269" s="30">
        <v>12</v>
      </c>
      <c r="E269" s="32">
        <f t="shared" si="32"/>
        <v>207000</v>
      </c>
      <c r="F269" s="529" t="s">
        <v>1173</v>
      </c>
      <c r="G269" s="34"/>
      <c r="H269" s="34"/>
      <c r="I269" s="34"/>
      <c r="J269" s="34"/>
      <c r="K269" s="34"/>
      <c r="L269" s="33"/>
      <c r="M269" s="34">
        <f t="shared" si="33"/>
        <v>207000</v>
      </c>
      <c r="N269" s="530">
        <v>375</v>
      </c>
      <c r="O269" s="530">
        <v>250</v>
      </c>
      <c r="P269" s="33"/>
      <c r="Q269" s="34"/>
      <c r="R269" s="34"/>
      <c r="S269" s="34">
        <v>17625</v>
      </c>
      <c r="T269" s="34">
        <v>17625</v>
      </c>
      <c r="U269" s="34"/>
      <c r="V269" s="34"/>
      <c r="W269" s="34"/>
      <c r="X269" s="34"/>
      <c r="Y269" s="34"/>
      <c r="Z269" s="34"/>
    </row>
    <row r="270" spans="1:26" ht="28.5" customHeight="1">
      <c r="A270" s="527" t="s">
        <v>1196</v>
      </c>
      <c r="B270" s="30">
        <v>6</v>
      </c>
      <c r="C270" s="530">
        <v>16250</v>
      </c>
      <c r="D270" s="30">
        <v>12</v>
      </c>
      <c r="E270" s="32">
        <f>+D270*C270*B270</f>
        <v>1170000</v>
      </c>
      <c r="F270" s="529" t="s">
        <v>1173</v>
      </c>
      <c r="G270" s="34"/>
      <c r="H270" s="34"/>
      <c r="I270" s="34"/>
      <c r="J270" s="34"/>
      <c r="K270" s="34"/>
      <c r="L270" s="33"/>
      <c r="M270" s="34">
        <f t="shared" si="33"/>
        <v>1170000</v>
      </c>
      <c r="N270" s="530">
        <f>375*B270</f>
        <v>2250</v>
      </c>
      <c r="O270" s="530">
        <f>250*B270</f>
        <v>1500</v>
      </c>
      <c r="P270" s="33"/>
      <c r="Q270" s="34"/>
      <c r="R270" s="34"/>
      <c r="S270" s="34">
        <f>16625*B270</f>
        <v>99750</v>
      </c>
      <c r="T270" s="34">
        <f>16625*B270</f>
        <v>99750</v>
      </c>
      <c r="U270" s="34"/>
      <c r="V270" s="34"/>
      <c r="W270" s="34"/>
      <c r="X270" s="34"/>
      <c r="Y270" s="34"/>
      <c r="Z270" s="34"/>
    </row>
    <row r="271" spans="1:26" ht="28.5" customHeight="1">
      <c r="A271" s="527" t="s">
        <v>1197</v>
      </c>
      <c r="B271" s="30">
        <v>1</v>
      </c>
      <c r="C271" s="530">
        <v>11250</v>
      </c>
      <c r="D271" s="30">
        <v>12</v>
      </c>
      <c r="E271" s="32">
        <f t="shared" si="32"/>
        <v>135000</v>
      </c>
      <c r="F271" s="529" t="s">
        <v>1173</v>
      </c>
      <c r="G271" s="34"/>
      <c r="H271" s="34"/>
      <c r="I271" s="34"/>
      <c r="J271" s="34"/>
      <c r="K271" s="34"/>
      <c r="L271" s="33"/>
      <c r="M271" s="34">
        <f t="shared" si="33"/>
        <v>135000</v>
      </c>
      <c r="N271" s="530">
        <v>375</v>
      </c>
      <c r="O271" s="530">
        <v>250</v>
      </c>
      <c r="P271" s="33"/>
      <c r="Q271" s="34"/>
      <c r="R271" s="34"/>
      <c r="S271" s="34">
        <v>11625</v>
      </c>
      <c r="T271" s="34">
        <v>11625</v>
      </c>
      <c r="U271" s="34"/>
      <c r="V271" s="34"/>
      <c r="W271" s="34"/>
      <c r="X271" s="34"/>
      <c r="Y271" s="34"/>
      <c r="Z271" s="34"/>
    </row>
    <row r="272" spans="1:26" ht="28.5" customHeight="1">
      <c r="A272" s="527" t="s">
        <v>1198</v>
      </c>
      <c r="B272" s="30">
        <v>1</v>
      </c>
      <c r="C272" s="530">
        <v>20000</v>
      </c>
      <c r="D272" s="30">
        <v>12</v>
      </c>
      <c r="E272" s="32">
        <f t="shared" si="32"/>
        <v>240000</v>
      </c>
      <c r="F272" s="529" t="s">
        <v>1173</v>
      </c>
      <c r="G272" s="34"/>
      <c r="H272" s="34"/>
      <c r="I272" s="34"/>
      <c r="J272" s="34"/>
      <c r="K272" s="34"/>
      <c r="L272" s="33"/>
      <c r="M272" s="34">
        <f t="shared" si="33"/>
        <v>240000</v>
      </c>
      <c r="N272" s="530">
        <v>375</v>
      </c>
      <c r="O272" s="530">
        <v>250</v>
      </c>
      <c r="P272" s="33"/>
      <c r="Q272" s="34"/>
      <c r="R272" s="34"/>
      <c r="S272" s="34">
        <v>20375</v>
      </c>
      <c r="T272" s="34">
        <v>20375</v>
      </c>
      <c r="U272" s="34"/>
      <c r="V272" s="34"/>
      <c r="W272" s="34"/>
      <c r="X272" s="34"/>
      <c r="Y272" s="34"/>
      <c r="Z272" s="34"/>
    </row>
    <row r="273" spans="1:26" ht="28.5" customHeight="1">
      <c r="A273" s="527" t="s">
        <v>1199</v>
      </c>
      <c r="B273" s="30">
        <v>1</v>
      </c>
      <c r="C273" s="530">
        <v>17250</v>
      </c>
      <c r="D273" s="30">
        <v>12</v>
      </c>
      <c r="E273" s="32">
        <f t="shared" si="32"/>
        <v>207000</v>
      </c>
      <c r="F273" s="529" t="s">
        <v>1173</v>
      </c>
      <c r="G273" s="34"/>
      <c r="H273" s="34"/>
      <c r="I273" s="34"/>
      <c r="J273" s="34"/>
      <c r="K273" s="34"/>
      <c r="L273" s="33"/>
      <c r="M273" s="34">
        <f t="shared" si="33"/>
        <v>207000</v>
      </c>
      <c r="N273" s="530">
        <v>375</v>
      </c>
      <c r="O273" s="530">
        <v>250</v>
      </c>
      <c r="P273" s="33"/>
      <c r="Q273" s="34"/>
      <c r="R273" s="34"/>
      <c r="S273" s="34">
        <v>17625</v>
      </c>
      <c r="T273" s="34">
        <v>17625</v>
      </c>
      <c r="U273" s="34"/>
      <c r="V273" s="34"/>
      <c r="W273" s="34"/>
      <c r="X273" s="34"/>
      <c r="Y273" s="34"/>
      <c r="Z273" s="34"/>
    </row>
    <row r="274" spans="1:26" ht="28.5" customHeight="1">
      <c r="A274" s="534" t="s">
        <v>1200</v>
      </c>
      <c r="B274" s="30">
        <v>15</v>
      </c>
      <c r="C274" s="530">
        <v>11250</v>
      </c>
      <c r="D274" s="30">
        <v>12</v>
      </c>
      <c r="E274" s="32">
        <f t="shared" si="32"/>
        <v>2025000</v>
      </c>
      <c r="F274" s="529" t="s">
        <v>1173</v>
      </c>
      <c r="G274" s="34"/>
      <c r="H274" s="34"/>
      <c r="I274" s="34"/>
      <c r="J274" s="34"/>
      <c r="K274" s="34"/>
      <c r="L274" s="33"/>
      <c r="M274" s="34">
        <f t="shared" si="33"/>
        <v>2025000</v>
      </c>
      <c r="N274" s="530">
        <f>375*B274</f>
        <v>5625</v>
      </c>
      <c r="O274" s="530">
        <f>250*B274</f>
        <v>3750</v>
      </c>
      <c r="P274" s="33"/>
      <c r="Q274" s="34"/>
      <c r="R274" s="34"/>
      <c r="S274" s="34">
        <f>11625*B274</f>
        <v>174375</v>
      </c>
      <c r="T274" s="34">
        <f>11625*B274</f>
        <v>174375</v>
      </c>
      <c r="U274" s="34"/>
      <c r="V274" s="34"/>
      <c r="W274" s="34"/>
      <c r="X274" s="34"/>
      <c r="Y274" s="34"/>
      <c r="Z274" s="34"/>
    </row>
    <row r="275" spans="1:26" ht="28.5" customHeight="1">
      <c r="A275" s="527" t="s">
        <v>1201</v>
      </c>
      <c r="B275" s="30">
        <v>14</v>
      </c>
      <c r="C275" s="530">
        <v>9250</v>
      </c>
      <c r="D275" s="30">
        <v>12</v>
      </c>
      <c r="E275" s="32">
        <f t="shared" si="32"/>
        <v>1554000</v>
      </c>
      <c r="F275" s="529" t="s">
        <v>1173</v>
      </c>
      <c r="G275" s="34"/>
      <c r="H275" s="34"/>
      <c r="I275" s="34"/>
      <c r="J275" s="34"/>
      <c r="K275" s="34"/>
      <c r="L275" s="33"/>
      <c r="M275" s="34">
        <f t="shared" si="33"/>
        <v>1554000</v>
      </c>
      <c r="N275" s="530">
        <f>375*B275</f>
        <v>5250</v>
      </c>
      <c r="O275" s="530">
        <f>250*B275</f>
        <v>3500</v>
      </c>
      <c r="P275" s="33"/>
      <c r="Q275" s="34"/>
      <c r="R275" s="34"/>
      <c r="S275" s="34">
        <f>11625*B275</f>
        <v>162750</v>
      </c>
      <c r="T275" s="34">
        <f>11625*B275</f>
        <v>162750</v>
      </c>
      <c r="U275" s="34"/>
      <c r="V275" s="34"/>
      <c r="W275" s="34"/>
      <c r="X275" s="34"/>
      <c r="Y275" s="34"/>
      <c r="Z275" s="34"/>
    </row>
    <row r="276" spans="1:26" ht="28.5" customHeight="1">
      <c r="A276" s="535" t="s">
        <v>1202</v>
      </c>
      <c r="B276" s="536">
        <v>1</v>
      </c>
      <c r="C276" s="537">
        <v>10000</v>
      </c>
      <c r="D276" s="30">
        <v>12</v>
      </c>
      <c r="E276" s="32">
        <f t="shared" si="32"/>
        <v>120000</v>
      </c>
      <c r="F276" s="529" t="s">
        <v>1203</v>
      </c>
      <c r="G276" s="34"/>
      <c r="H276" s="34"/>
      <c r="I276" s="34"/>
      <c r="J276" s="34"/>
      <c r="K276" s="34"/>
      <c r="L276" s="33"/>
      <c r="M276" s="34"/>
      <c r="N276" s="34"/>
      <c r="O276" s="34"/>
      <c r="P276" s="33">
        <f>+E276</f>
        <v>120000</v>
      </c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28.5" customHeight="1">
      <c r="A277" s="535" t="s">
        <v>1204</v>
      </c>
      <c r="B277" s="536">
        <v>1</v>
      </c>
      <c r="C277" s="537">
        <v>10000</v>
      </c>
      <c r="D277" s="30">
        <v>12</v>
      </c>
      <c r="E277" s="32">
        <f t="shared" si="32"/>
        <v>120000</v>
      </c>
      <c r="F277" s="529" t="s">
        <v>1203</v>
      </c>
      <c r="G277" s="34"/>
      <c r="H277" s="34"/>
      <c r="I277" s="34"/>
      <c r="J277" s="34"/>
      <c r="K277" s="34"/>
      <c r="L277" s="33"/>
      <c r="M277" s="34"/>
      <c r="N277" s="34"/>
      <c r="O277" s="34"/>
      <c r="P277" s="33">
        <f>+E277</f>
        <v>120000</v>
      </c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28.5" customHeight="1">
      <c r="A278" s="535" t="s">
        <v>1205</v>
      </c>
      <c r="B278" s="536">
        <v>2</v>
      </c>
      <c r="C278" s="537">
        <f>6000*B278</f>
        <v>12000</v>
      </c>
      <c r="D278" s="30">
        <v>12</v>
      </c>
      <c r="E278" s="32">
        <f>+C278*D278</f>
        <v>144000</v>
      </c>
      <c r="F278" s="529" t="s">
        <v>1203</v>
      </c>
      <c r="G278" s="34"/>
      <c r="H278" s="34"/>
      <c r="I278" s="34"/>
      <c r="J278" s="34"/>
      <c r="K278" s="34"/>
      <c r="L278" s="33"/>
      <c r="M278" s="34"/>
      <c r="N278" s="34"/>
      <c r="O278" s="34"/>
      <c r="P278" s="33">
        <f t="shared" ref="P278:P341" si="34">+E278</f>
        <v>144000</v>
      </c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28.5" customHeight="1">
      <c r="A279" s="535" t="s">
        <v>1206</v>
      </c>
      <c r="B279" s="536">
        <v>1</v>
      </c>
      <c r="C279" s="537">
        <v>7000</v>
      </c>
      <c r="D279" s="30">
        <v>12</v>
      </c>
      <c r="E279" s="32">
        <f t="shared" si="32"/>
        <v>84000</v>
      </c>
      <c r="F279" s="529" t="s">
        <v>1203</v>
      </c>
      <c r="G279" s="34"/>
      <c r="H279" s="34"/>
      <c r="I279" s="34"/>
      <c r="J279" s="34"/>
      <c r="K279" s="34"/>
      <c r="L279" s="33"/>
      <c r="M279" s="34"/>
      <c r="N279" s="34"/>
      <c r="O279" s="34"/>
      <c r="P279" s="33">
        <f t="shared" si="34"/>
        <v>84000</v>
      </c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28.5" customHeight="1">
      <c r="A280" s="535" t="s">
        <v>1207</v>
      </c>
      <c r="B280" s="536">
        <v>1</v>
      </c>
      <c r="C280" s="537">
        <v>20000</v>
      </c>
      <c r="D280" s="30">
        <v>12</v>
      </c>
      <c r="E280" s="32">
        <f t="shared" si="32"/>
        <v>240000</v>
      </c>
      <c r="F280" s="529" t="s">
        <v>1203</v>
      </c>
      <c r="G280" s="34"/>
      <c r="H280" s="34"/>
      <c r="I280" s="34"/>
      <c r="J280" s="34"/>
      <c r="K280" s="34"/>
      <c r="L280" s="33"/>
      <c r="M280" s="34"/>
      <c r="N280" s="34"/>
      <c r="O280" s="34"/>
      <c r="P280" s="33">
        <f t="shared" si="34"/>
        <v>240000</v>
      </c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28.5" customHeight="1">
      <c r="A281" s="535" t="s">
        <v>1208</v>
      </c>
      <c r="B281" s="536">
        <v>1</v>
      </c>
      <c r="C281" s="537">
        <v>17000</v>
      </c>
      <c r="D281" s="30">
        <v>12</v>
      </c>
      <c r="E281" s="32">
        <f t="shared" si="32"/>
        <v>204000</v>
      </c>
      <c r="F281" s="529" t="s">
        <v>1203</v>
      </c>
      <c r="G281" s="34"/>
      <c r="H281" s="34"/>
      <c r="I281" s="34"/>
      <c r="J281" s="34"/>
      <c r="K281" s="34"/>
      <c r="L281" s="33"/>
      <c r="M281" s="34"/>
      <c r="N281" s="34"/>
      <c r="O281" s="34"/>
      <c r="P281" s="33">
        <f t="shared" si="34"/>
        <v>204000</v>
      </c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28.5" customHeight="1">
      <c r="A282" s="535" t="s">
        <v>1209</v>
      </c>
      <c r="B282" s="536">
        <v>1</v>
      </c>
      <c r="C282" s="537">
        <v>8000</v>
      </c>
      <c r="D282" s="30">
        <v>12</v>
      </c>
      <c r="E282" s="32">
        <f t="shared" si="32"/>
        <v>96000</v>
      </c>
      <c r="F282" s="529" t="s">
        <v>1203</v>
      </c>
      <c r="G282" s="34"/>
      <c r="H282" s="34"/>
      <c r="I282" s="34"/>
      <c r="J282" s="34"/>
      <c r="K282" s="34"/>
      <c r="L282" s="33"/>
      <c r="M282" s="34"/>
      <c r="N282" s="34"/>
      <c r="O282" s="34"/>
      <c r="P282" s="33">
        <f t="shared" si="34"/>
        <v>96000</v>
      </c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28.5" customHeight="1">
      <c r="A283" s="535" t="s">
        <v>1210</v>
      </c>
      <c r="B283" s="536">
        <v>1</v>
      </c>
      <c r="C283" s="537">
        <v>12000</v>
      </c>
      <c r="D283" s="30">
        <v>12</v>
      </c>
      <c r="E283" s="32">
        <f t="shared" si="32"/>
        <v>144000</v>
      </c>
      <c r="F283" s="529" t="s">
        <v>1203</v>
      </c>
      <c r="G283" s="34"/>
      <c r="H283" s="34"/>
      <c r="I283" s="34"/>
      <c r="J283" s="34"/>
      <c r="K283" s="34"/>
      <c r="L283" s="33"/>
      <c r="M283" s="34"/>
      <c r="N283" s="34"/>
      <c r="O283" s="34"/>
      <c r="P283" s="33">
        <f t="shared" si="34"/>
        <v>144000</v>
      </c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28.5" customHeight="1">
      <c r="A284" s="535" t="s">
        <v>1211</v>
      </c>
      <c r="B284" s="536">
        <v>1</v>
      </c>
      <c r="C284" s="537">
        <v>6000</v>
      </c>
      <c r="D284" s="30">
        <v>12</v>
      </c>
      <c r="E284" s="32">
        <f t="shared" si="32"/>
        <v>72000</v>
      </c>
      <c r="F284" s="529" t="s">
        <v>1203</v>
      </c>
      <c r="G284" s="34"/>
      <c r="H284" s="34"/>
      <c r="I284" s="34"/>
      <c r="J284" s="34"/>
      <c r="K284" s="34"/>
      <c r="L284" s="33"/>
      <c r="M284" s="34"/>
      <c r="N284" s="34"/>
      <c r="O284" s="34"/>
      <c r="P284" s="33">
        <f t="shared" si="34"/>
        <v>72000</v>
      </c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28.5" customHeight="1">
      <c r="A285" s="535" t="s">
        <v>1212</v>
      </c>
      <c r="B285" s="536">
        <v>1</v>
      </c>
      <c r="C285" s="537">
        <v>7500</v>
      </c>
      <c r="D285" s="30">
        <v>12</v>
      </c>
      <c r="E285" s="32">
        <f t="shared" si="32"/>
        <v>90000</v>
      </c>
      <c r="F285" s="529" t="s">
        <v>1203</v>
      </c>
      <c r="G285" s="34"/>
      <c r="H285" s="34"/>
      <c r="I285" s="34"/>
      <c r="J285" s="34"/>
      <c r="K285" s="34"/>
      <c r="L285" s="33"/>
      <c r="M285" s="34"/>
      <c r="N285" s="34"/>
      <c r="O285" s="34"/>
      <c r="P285" s="33">
        <f t="shared" si="34"/>
        <v>90000</v>
      </c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28.5" customHeight="1">
      <c r="A286" s="535" t="s">
        <v>1213</v>
      </c>
      <c r="B286" s="536">
        <v>1</v>
      </c>
      <c r="C286" s="537">
        <v>8000</v>
      </c>
      <c r="D286" s="30">
        <v>12</v>
      </c>
      <c r="E286" s="32">
        <f t="shared" si="32"/>
        <v>96000</v>
      </c>
      <c r="F286" s="529" t="s">
        <v>1203</v>
      </c>
      <c r="G286" s="34"/>
      <c r="H286" s="34"/>
      <c r="I286" s="34"/>
      <c r="J286" s="34"/>
      <c r="K286" s="34"/>
      <c r="L286" s="33"/>
      <c r="M286" s="34"/>
      <c r="N286" s="34"/>
      <c r="O286" s="34"/>
      <c r="P286" s="33">
        <f t="shared" si="34"/>
        <v>96000</v>
      </c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28.5" customHeight="1">
      <c r="A287" s="535" t="s">
        <v>1214</v>
      </c>
      <c r="B287" s="536">
        <v>1</v>
      </c>
      <c r="C287" s="537">
        <v>4500</v>
      </c>
      <c r="D287" s="30">
        <v>12</v>
      </c>
      <c r="E287" s="32">
        <f t="shared" si="32"/>
        <v>54000</v>
      </c>
      <c r="F287" s="529" t="s">
        <v>1203</v>
      </c>
      <c r="G287" s="34"/>
      <c r="H287" s="34"/>
      <c r="I287" s="34"/>
      <c r="J287" s="34"/>
      <c r="K287" s="34"/>
      <c r="L287" s="33"/>
      <c r="M287" s="34"/>
      <c r="N287" s="34"/>
      <c r="O287" s="34"/>
      <c r="P287" s="33">
        <f t="shared" si="34"/>
        <v>54000</v>
      </c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28.5" customHeight="1">
      <c r="A288" s="535" t="s">
        <v>1215</v>
      </c>
      <c r="B288" s="536">
        <v>1</v>
      </c>
      <c r="C288" s="537">
        <v>7000</v>
      </c>
      <c r="D288" s="30">
        <v>12</v>
      </c>
      <c r="E288" s="32">
        <f t="shared" si="32"/>
        <v>84000</v>
      </c>
      <c r="F288" s="529" t="s">
        <v>1203</v>
      </c>
      <c r="G288" s="34"/>
      <c r="H288" s="34"/>
      <c r="I288" s="34"/>
      <c r="J288" s="34"/>
      <c r="K288" s="34"/>
      <c r="L288" s="33"/>
      <c r="M288" s="34"/>
      <c r="N288" s="34"/>
      <c r="O288" s="34"/>
      <c r="P288" s="33">
        <f t="shared" si="34"/>
        <v>84000</v>
      </c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28.5" customHeight="1">
      <c r="A289" s="535" t="s">
        <v>1216</v>
      </c>
      <c r="B289" s="536">
        <v>1</v>
      </c>
      <c r="C289" s="537">
        <v>15000</v>
      </c>
      <c r="D289" s="30">
        <v>12</v>
      </c>
      <c r="E289" s="32">
        <f t="shared" si="32"/>
        <v>180000</v>
      </c>
      <c r="F289" s="529" t="s">
        <v>1203</v>
      </c>
      <c r="G289" s="34"/>
      <c r="H289" s="34"/>
      <c r="I289" s="34"/>
      <c r="J289" s="34"/>
      <c r="K289" s="34"/>
      <c r="L289" s="33"/>
      <c r="M289" s="34"/>
      <c r="N289" s="34"/>
      <c r="O289" s="34"/>
      <c r="P289" s="33">
        <f t="shared" si="34"/>
        <v>180000</v>
      </c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28.5" customHeight="1">
      <c r="A290" s="535" t="s">
        <v>1217</v>
      </c>
      <c r="B290" s="536">
        <v>1</v>
      </c>
      <c r="C290" s="537">
        <v>11500</v>
      </c>
      <c r="D290" s="30">
        <v>12</v>
      </c>
      <c r="E290" s="32">
        <f t="shared" si="32"/>
        <v>138000</v>
      </c>
      <c r="F290" s="529" t="s">
        <v>1203</v>
      </c>
      <c r="G290" s="34"/>
      <c r="H290" s="34"/>
      <c r="I290" s="34"/>
      <c r="J290" s="34"/>
      <c r="K290" s="34"/>
      <c r="L290" s="33"/>
      <c r="M290" s="34"/>
      <c r="N290" s="34"/>
      <c r="O290" s="34"/>
      <c r="P290" s="33">
        <f t="shared" si="34"/>
        <v>138000</v>
      </c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28.5" customHeight="1">
      <c r="A291" s="535" t="s">
        <v>1218</v>
      </c>
      <c r="B291" s="536">
        <v>1</v>
      </c>
      <c r="C291" s="537">
        <v>12500</v>
      </c>
      <c r="D291" s="30">
        <v>12</v>
      </c>
      <c r="E291" s="32">
        <f t="shared" si="32"/>
        <v>150000</v>
      </c>
      <c r="F291" s="529" t="s">
        <v>1203</v>
      </c>
      <c r="G291" s="34"/>
      <c r="H291" s="34"/>
      <c r="I291" s="34"/>
      <c r="J291" s="34"/>
      <c r="K291" s="34"/>
      <c r="L291" s="33"/>
      <c r="M291" s="34"/>
      <c r="N291" s="34"/>
      <c r="O291" s="34"/>
      <c r="P291" s="33">
        <f t="shared" si="34"/>
        <v>150000</v>
      </c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28.5" customHeight="1">
      <c r="A292" s="535" t="s">
        <v>1219</v>
      </c>
      <c r="B292" s="536">
        <v>1</v>
      </c>
      <c r="C292" s="537">
        <v>17850</v>
      </c>
      <c r="D292" s="30">
        <v>12</v>
      </c>
      <c r="E292" s="32">
        <f t="shared" si="32"/>
        <v>214200</v>
      </c>
      <c r="F292" s="529" t="s">
        <v>1203</v>
      </c>
      <c r="G292" s="34"/>
      <c r="H292" s="34"/>
      <c r="I292" s="34"/>
      <c r="J292" s="34"/>
      <c r="K292" s="34"/>
      <c r="L292" s="33"/>
      <c r="M292" s="34"/>
      <c r="N292" s="34"/>
      <c r="O292" s="34"/>
      <c r="P292" s="33">
        <f t="shared" si="34"/>
        <v>214200</v>
      </c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28.5" customHeight="1">
      <c r="A293" s="535" t="s">
        <v>1219</v>
      </c>
      <c r="B293" s="536">
        <v>3</v>
      </c>
      <c r="C293" s="537">
        <f>17000*B293</f>
        <v>51000</v>
      </c>
      <c r="D293" s="30">
        <v>12</v>
      </c>
      <c r="E293" s="32">
        <f>+C293*D293</f>
        <v>612000</v>
      </c>
      <c r="F293" s="529" t="s">
        <v>1203</v>
      </c>
      <c r="G293" s="34"/>
      <c r="H293" s="34"/>
      <c r="I293" s="34"/>
      <c r="J293" s="34"/>
      <c r="K293" s="34"/>
      <c r="L293" s="33"/>
      <c r="M293" s="34"/>
      <c r="N293" s="34"/>
      <c r="O293" s="34"/>
      <c r="P293" s="33">
        <f t="shared" si="34"/>
        <v>612000</v>
      </c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28.5" customHeight="1">
      <c r="A294" s="535" t="s">
        <v>1220</v>
      </c>
      <c r="B294" s="536">
        <v>1</v>
      </c>
      <c r="C294" s="537">
        <v>6500</v>
      </c>
      <c r="D294" s="30">
        <v>12</v>
      </c>
      <c r="E294" s="32">
        <f t="shared" si="32"/>
        <v>78000</v>
      </c>
      <c r="F294" s="529" t="s">
        <v>1203</v>
      </c>
      <c r="G294" s="34"/>
      <c r="H294" s="34"/>
      <c r="I294" s="34"/>
      <c r="J294" s="34"/>
      <c r="K294" s="34"/>
      <c r="L294" s="33"/>
      <c r="M294" s="34"/>
      <c r="N294" s="34"/>
      <c r="O294" s="34"/>
      <c r="P294" s="33">
        <f t="shared" si="34"/>
        <v>78000</v>
      </c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28.5" customHeight="1">
      <c r="A295" s="535" t="s">
        <v>1221</v>
      </c>
      <c r="B295" s="536">
        <v>1</v>
      </c>
      <c r="C295" s="537">
        <v>3000</v>
      </c>
      <c r="D295" s="30">
        <v>12</v>
      </c>
      <c r="E295" s="32">
        <f t="shared" si="32"/>
        <v>36000</v>
      </c>
      <c r="F295" s="529" t="s">
        <v>1203</v>
      </c>
      <c r="G295" s="34"/>
      <c r="H295" s="34"/>
      <c r="I295" s="34"/>
      <c r="J295" s="34"/>
      <c r="K295" s="34"/>
      <c r="L295" s="33"/>
      <c r="M295" s="34"/>
      <c r="N295" s="34"/>
      <c r="O295" s="34"/>
      <c r="P295" s="33">
        <f t="shared" si="34"/>
        <v>36000</v>
      </c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28.5" customHeight="1">
      <c r="A296" s="535" t="s">
        <v>1222</v>
      </c>
      <c r="B296" s="536">
        <v>1</v>
      </c>
      <c r="C296" s="537">
        <v>18000</v>
      </c>
      <c r="D296" s="30">
        <v>12</v>
      </c>
      <c r="E296" s="32">
        <f t="shared" si="32"/>
        <v>216000</v>
      </c>
      <c r="F296" s="529" t="s">
        <v>1203</v>
      </c>
      <c r="G296" s="34"/>
      <c r="H296" s="34"/>
      <c r="I296" s="34"/>
      <c r="J296" s="34"/>
      <c r="K296" s="34"/>
      <c r="L296" s="33"/>
      <c r="M296" s="34"/>
      <c r="N296" s="34"/>
      <c r="O296" s="34"/>
      <c r="P296" s="33">
        <f t="shared" si="34"/>
        <v>216000</v>
      </c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28.5" customHeight="1">
      <c r="A297" s="535" t="s">
        <v>1213</v>
      </c>
      <c r="B297" s="536">
        <v>1</v>
      </c>
      <c r="C297" s="537">
        <v>7500</v>
      </c>
      <c r="D297" s="30">
        <v>12</v>
      </c>
      <c r="E297" s="32">
        <f t="shared" si="32"/>
        <v>90000</v>
      </c>
      <c r="F297" s="529" t="s">
        <v>1203</v>
      </c>
      <c r="G297" s="34"/>
      <c r="H297" s="34"/>
      <c r="I297" s="34"/>
      <c r="J297" s="34"/>
      <c r="K297" s="34"/>
      <c r="L297" s="33"/>
      <c r="M297" s="34"/>
      <c r="N297" s="34"/>
      <c r="O297" s="34"/>
      <c r="P297" s="33">
        <f t="shared" si="34"/>
        <v>90000</v>
      </c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28.5" customHeight="1">
      <c r="A298" s="535" t="s">
        <v>1223</v>
      </c>
      <c r="B298" s="536">
        <v>1</v>
      </c>
      <c r="C298" s="537">
        <v>8000</v>
      </c>
      <c r="D298" s="30">
        <v>12</v>
      </c>
      <c r="E298" s="32">
        <f t="shared" si="32"/>
        <v>96000</v>
      </c>
      <c r="F298" s="529" t="s">
        <v>1203</v>
      </c>
      <c r="G298" s="34"/>
      <c r="H298" s="34"/>
      <c r="I298" s="34"/>
      <c r="J298" s="34"/>
      <c r="K298" s="34"/>
      <c r="L298" s="33"/>
      <c r="M298" s="34"/>
      <c r="N298" s="34"/>
      <c r="O298" s="34"/>
      <c r="P298" s="33">
        <f t="shared" si="34"/>
        <v>96000</v>
      </c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35.25" customHeight="1">
      <c r="A299" s="535" t="s">
        <v>1213</v>
      </c>
      <c r="B299" s="536">
        <v>1</v>
      </c>
      <c r="C299" s="537">
        <v>3000</v>
      </c>
      <c r="D299" s="30">
        <v>12</v>
      </c>
      <c r="E299" s="32">
        <f t="shared" si="32"/>
        <v>36000</v>
      </c>
      <c r="F299" s="529" t="s">
        <v>1203</v>
      </c>
      <c r="G299" s="34"/>
      <c r="H299" s="34"/>
      <c r="I299" s="34"/>
      <c r="J299" s="34"/>
      <c r="K299" s="34"/>
      <c r="L299" s="33"/>
      <c r="M299" s="34"/>
      <c r="N299" s="34"/>
      <c r="O299" s="34"/>
      <c r="P299" s="33">
        <f t="shared" si="34"/>
        <v>36000</v>
      </c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35.25" customHeight="1">
      <c r="A300" s="538" t="s">
        <v>1213</v>
      </c>
      <c r="B300" s="539">
        <v>1</v>
      </c>
      <c r="C300" s="540">
        <v>3000</v>
      </c>
      <c r="D300" s="30">
        <v>12</v>
      </c>
      <c r="E300" s="32">
        <f t="shared" si="32"/>
        <v>36000</v>
      </c>
      <c r="F300" s="529" t="s">
        <v>1203</v>
      </c>
      <c r="G300" s="34"/>
      <c r="H300" s="34"/>
      <c r="I300" s="34"/>
      <c r="J300" s="34"/>
      <c r="K300" s="34"/>
      <c r="L300" s="33"/>
      <c r="M300" s="34"/>
      <c r="N300" s="34"/>
      <c r="O300" s="34"/>
      <c r="P300" s="33">
        <f t="shared" si="34"/>
        <v>36000</v>
      </c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35.25" customHeight="1">
      <c r="A301" s="535" t="s">
        <v>1213</v>
      </c>
      <c r="B301" s="536">
        <v>3</v>
      </c>
      <c r="C301" s="537">
        <f>4000*B301</f>
        <v>12000</v>
      </c>
      <c r="D301" s="30">
        <v>12</v>
      </c>
      <c r="E301" s="32">
        <f>+C301*D301</f>
        <v>144000</v>
      </c>
      <c r="F301" s="529" t="s">
        <v>1203</v>
      </c>
      <c r="G301" s="34"/>
      <c r="H301" s="34"/>
      <c r="I301" s="34"/>
      <c r="J301" s="34"/>
      <c r="K301" s="34"/>
      <c r="L301" s="33"/>
      <c r="M301" s="34"/>
      <c r="N301" s="34"/>
      <c r="O301" s="34"/>
      <c r="P301" s="33">
        <f t="shared" si="34"/>
        <v>144000</v>
      </c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35.25" customHeight="1">
      <c r="A302" s="535" t="s">
        <v>1224</v>
      </c>
      <c r="B302" s="536">
        <v>1</v>
      </c>
      <c r="C302" s="537">
        <v>5000</v>
      </c>
      <c r="D302" s="30">
        <v>12</v>
      </c>
      <c r="E302" s="32">
        <f t="shared" si="32"/>
        <v>60000</v>
      </c>
      <c r="F302" s="529" t="s">
        <v>1203</v>
      </c>
      <c r="G302" s="34"/>
      <c r="H302" s="34"/>
      <c r="I302" s="34"/>
      <c r="J302" s="34"/>
      <c r="K302" s="34"/>
      <c r="L302" s="33"/>
      <c r="M302" s="34"/>
      <c r="N302" s="34"/>
      <c r="O302" s="34"/>
      <c r="P302" s="33">
        <f t="shared" si="34"/>
        <v>60000</v>
      </c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35.25" customHeight="1">
      <c r="A303" s="535" t="s">
        <v>1225</v>
      </c>
      <c r="B303" s="536">
        <v>1</v>
      </c>
      <c r="C303" s="537">
        <v>6500</v>
      </c>
      <c r="D303" s="30">
        <v>12</v>
      </c>
      <c r="E303" s="32">
        <f t="shared" si="32"/>
        <v>78000</v>
      </c>
      <c r="F303" s="529" t="s">
        <v>1203</v>
      </c>
      <c r="G303" s="34"/>
      <c r="H303" s="34"/>
      <c r="I303" s="34"/>
      <c r="J303" s="34"/>
      <c r="K303" s="34"/>
      <c r="L303" s="33"/>
      <c r="M303" s="34"/>
      <c r="N303" s="34"/>
      <c r="O303" s="34"/>
      <c r="P303" s="33">
        <f t="shared" si="34"/>
        <v>78000</v>
      </c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35.25" customHeight="1">
      <c r="A304" s="535" t="s">
        <v>1226</v>
      </c>
      <c r="B304" s="536">
        <v>1</v>
      </c>
      <c r="C304" s="537">
        <v>11000</v>
      </c>
      <c r="D304" s="30">
        <v>12</v>
      </c>
      <c r="E304" s="32">
        <f t="shared" si="32"/>
        <v>132000</v>
      </c>
      <c r="F304" s="529" t="s">
        <v>1203</v>
      </c>
      <c r="G304" s="34"/>
      <c r="H304" s="34"/>
      <c r="I304" s="34"/>
      <c r="J304" s="34"/>
      <c r="K304" s="34"/>
      <c r="L304" s="33"/>
      <c r="M304" s="34"/>
      <c r="N304" s="34"/>
      <c r="O304" s="34"/>
      <c r="P304" s="33">
        <f t="shared" si="34"/>
        <v>132000</v>
      </c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35.25" customHeight="1">
      <c r="A305" s="535" t="s">
        <v>1212</v>
      </c>
      <c r="B305" s="536">
        <v>1</v>
      </c>
      <c r="C305" s="537">
        <v>7000</v>
      </c>
      <c r="D305" s="30">
        <v>12</v>
      </c>
      <c r="E305" s="32">
        <f t="shared" si="32"/>
        <v>84000</v>
      </c>
      <c r="F305" s="529" t="s">
        <v>1203</v>
      </c>
      <c r="G305" s="34"/>
      <c r="H305" s="34"/>
      <c r="I305" s="34"/>
      <c r="J305" s="34"/>
      <c r="K305" s="34"/>
      <c r="L305" s="33"/>
      <c r="M305" s="34"/>
      <c r="N305" s="34"/>
      <c r="O305" s="34"/>
      <c r="P305" s="33">
        <f t="shared" si="34"/>
        <v>84000</v>
      </c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35.25" customHeight="1">
      <c r="A306" s="535" t="s">
        <v>1227</v>
      </c>
      <c r="B306" s="536">
        <v>1</v>
      </c>
      <c r="C306" s="537">
        <v>6500</v>
      </c>
      <c r="D306" s="30">
        <v>12</v>
      </c>
      <c r="E306" s="32">
        <f t="shared" si="32"/>
        <v>78000</v>
      </c>
      <c r="F306" s="529" t="s">
        <v>1203</v>
      </c>
      <c r="G306" s="34"/>
      <c r="H306" s="34"/>
      <c r="I306" s="34"/>
      <c r="J306" s="34"/>
      <c r="K306" s="34"/>
      <c r="L306" s="33"/>
      <c r="M306" s="34"/>
      <c r="N306" s="34"/>
      <c r="O306" s="34"/>
      <c r="P306" s="33">
        <f t="shared" si="34"/>
        <v>78000</v>
      </c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35.25" customHeight="1">
      <c r="A307" s="535" t="s">
        <v>1228</v>
      </c>
      <c r="B307" s="536">
        <v>1</v>
      </c>
      <c r="C307" s="537">
        <v>18000</v>
      </c>
      <c r="D307" s="30">
        <v>12</v>
      </c>
      <c r="E307" s="32">
        <f t="shared" si="32"/>
        <v>216000</v>
      </c>
      <c r="F307" s="529" t="s">
        <v>1203</v>
      </c>
      <c r="G307" s="34"/>
      <c r="H307" s="34"/>
      <c r="I307" s="34"/>
      <c r="J307" s="34"/>
      <c r="K307" s="34"/>
      <c r="L307" s="33"/>
      <c r="M307" s="34"/>
      <c r="N307" s="34"/>
      <c r="O307" s="34"/>
      <c r="P307" s="33">
        <f t="shared" si="34"/>
        <v>216000</v>
      </c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35.25" customHeight="1">
      <c r="A308" s="535" t="s">
        <v>1229</v>
      </c>
      <c r="B308" s="536">
        <v>1</v>
      </c>
      <c r="C308" s="537">
        <v>6500</v>
      </c>
      <c r="D308" s="30">
        <v>12</v>
      </c>
      <c r="E308" s="32">
        <f t="shared" ref="E308:E371" si="35">+D308*C308*B308</f>
        <v>78000</v>
      </c>
      <c r="F308" s="529" t="s">
        <v>1203</v>
      </c>
      <c r="G308" s="34"/>
      <c r="H308" s="34"/>
      <c r="I308" s="34"/>
      <c r="J308" s="34"/>
      <c r="K308" s="34"/>
      <c r="L308" s="33"/>
      <c r="M308" s="34"/>
      <c r="N308" s="34"/>
      <c r="O308" s="34"/>
      <c r="P308" s="33">
        <f t="shared" si="34"/>
        <v>78000</v>
      </c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35.25" customHeight="1">
      <c r="A309" s="535" t="s">
        <v>1230</v>
      </c>
      <c r="B309" s="536">
        <v>1</v>
      </c>
      <c r="C309" s="537">
        <v>20000</v>
      </c>
      <c r="D309" s="30">
        <v>12</v>
      </c>
      <c r="E309" s="32">
        <f t="shared" si="35"/>
        <v>240000</v>
      </c>
      <c r="F309" s="529" t="s">
        <v>1203</v>
      </c>
      <c r="G309" s="34"/>
      <c r="H309" s="34"/>
      <c r="I309" s="34"/>
      <c r="J309" s="34"/>
      <c r="K309" s="34"/>
      <c r="L309" s="33"/>
      <c r="M309" s="34"/>
      <c r="N309" s="34"/>
      <c r="O309" s="34"/>
      <c r="P309" s="33">
        <f t="shared" si="34"/>
        <v>240000</v>
      </c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35.25" customHeight="1">
      <c r="A310" s="535" t="s">
        <v>1213</v>
      </c>
      <c r="B310" s="536">
        <v>8</v>
      </c>
      <c r="C310" s="537">
        <f>5000*B310</f>
        <v>40000</v>
      </c>
      <c r="D310" s="30">
        <v>12</v>
      </c>
      <c r="E310" s="32">
        <f>+C310*D310</f>
        <v>480000</v>
      </c>
      <c r="F310" s="529" t="s">
        <v>1203</v>
      </c>
      <c r="G310" s="34"/>
      <c r="H310" s="34"/>
      <c r="I310" s="34"/>
      <c r="J310" s="34"/>
      <c r="K310" s="34"/>
      <c r="L310" s="33"/>
      <c r="M310" s="34"/>
      <c r="N310" s="34"/>
      <c r="O310" s="34"/>
      <c r="P310" s="33">
        <f t="shared" si="34"/>
        <v>480000</v>
      </c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35.25" customHeight="1">
      <c r="A311" s="535" t="s">
        <v>1231</v>
      </c>
      <c r="B311" s="536">
        <v>1</v>
      </c>
      <c r="C311" s="537">
        <v>11000</v>
      </c>
      <c r="D311" s="30">
        <v>12</v>
      </c>
      <c r="E311" s="32">
        <f t="shared" si="35"/>
        <v>132000</v>
      </c>
      <c r="F311" s="529" t="s">
        <v>1203</v>
      </c>
      <c r="G311" s="34"/>
      <c r="H311" s="34"/>
      <c r="I311" s="34"/>
      <c r="J311" s="34"/>
      <c r="K311" s="34"/>
      <c r="L311" s="33"/>
      <c r="M311" s="34"/>
      <c r="N311" s="34"/>
      <c r="O311" s="34"/>
      <c r="P311" s="33">
        <f t="shared" si="34"/>
        <v>132000</v>
      </c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35.25" customHeight="1">
      <c r="A312" s="535" t="s">
        <v>1232</v>
      </c>
      <c r="B312" s="536">
        <v>1</v>
      </c>
      <c r="C312" s="537">
        <v>4000</v>
      </c>
      <c r="D312" s="30">
        <v>12</v>
      </c>
      <c r="E312" s="32">
        <f t="shared" si="35"/>
        <v>48000</v>
      </c>
      <c r="F312" s="529" t="s">
        <v>1203</v>
      </c>
      <c r="G312" s="34"/>
      <c r="H312" s="34"/>
      <c r="I312" s="34"/>
      <c r="J312" s="34"/>
      <c r="K312" s="34"/>
      <c r="L312" s="33"/>
      <c r="M312" s="34"/>
      <c r="N312" s="34"/>
      <c r="O312" s="34"/>
      <c r="P312" s="33">
        <f t="shared" si="34"/>
        <v>48000</v>
      </c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35.25" customHeight="1">
      <c r="A313" s="535" t="s">
        <v>1233</v>
      </c>
      <c r="B313" s="536">
        <v>1</v>
      </c>
      <c r="C313" s="537">
        <v>7200</v>
      </c>
      <c r="D313" s="30">
        <v>12</v>
      </c>
      <c r="E313" s="32">
        <f t="shared" si="35"/>
        <v>86400</v>
      </c>
      <c r="F313" s="529" t="s">
        <v>1203</v>
      </c>
      <c r="G313" s="34"/>
      <c r="H313" s="34"/>
      <c r="I313" s="34"/>
      <c r="J313" s="34"/>
      <c r="K313" s="34"/>
      <c r="L313" s="33"/>
      <c r="M313" s="33"/>
      <c r="N313" s="33"/>
      <c r="O313" s="33"/>
      <c r="P313" s="33">
        <f t="shared" si="34"/>
        <v>86400</v>
      </c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35.25" customHeight="1">
      <c r="A314" s="538" t="s">
        <v>1234</v>
      </c>
      <c r="B314" s="539">
        <v>1</v>
      </c>
      <c r="C314" s="540">
        <v>3000</v>
      </c>
      <c r="D314" s="30">
        <v>12</v>
      </c>
      <c r="E314" s="32">
        <f t="shared" si="35"/>
        <v>36000</v>
      </c>
      <c r="F314" s="529" t="s">
        <v>1203</v>
      </c>
      <c r="G314" s="34"/>
      <c r="H314" s="34"/>
      <c r="I314" s="34"/>
      <c r="J314" s="34"/>
      <c r="K314" s="34"/>
      <c r="L314" s="42"/>
      <c r="M314" s="33"/>
      <c r="N314" s="33"/>
      <c r="O314" s="33"/>
      <c r="P314" s="33">
        <f t="shared" si="34"/>
        <v>36000</v>
      </c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35.25" customHeight="1">
      <c r="A315" s="535" t="s">
        <v>1235</v>
      </c>
      <c r="B315" s="536">
        <v>1</v>
      </c>
      <c r="C315" s="537">
        <v>12000</v>
      </c>
      <c r="D315" s="30">
        <v>12</v>
      </c>
      <c r="E315" s="32">
        <f t="shared" si="35"/>
        <v>144000</v>
      </c>
      <c r="F315" s="529" t="s">
        <v>1203</v>
      </c>
      <c r="G315" s="34"/>
      <c r="H315" s="34"/>
      <c r="I315" s="34"/>
      <c r="J315" s="34"/>
      <c r="K315" s="34"/>
      <c r="L315" s="42"/>
      <c r="M315" s="33"/>
      <c r="N315" s="33"/>
      <c r="O315" s="33"/>
      <c r="P315" s="33">
        <f t="shared" si="34"/>
        <v>144000</v>
      </c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35.25" customHeight="1">
      <c r="A316" s="535" t="s">
        <v>1213</v>
      </c>
      <c r="B316" s="536">
        <v>2</v>
      </c>
      <c r="C316" s="537">
        <f>5300*B316</f>
        <v>10600</v>
      </c>
      <c r="D316" s="30">
        <v>12</v>
      </c>
      <c r="E316" s="32">
        <f>+C316*D316</f>
        <v>127200</v>
      </c>
      <c r="F316" s="529" t="s">
        <v>1203</v>
      </c>
      <c r="G316" s="34"/>
      <c r="H316" s="34"/>
      <c r="I316" s="34"/>
      <c r="J316" s="34"/>
      <c r="K316" s="34"/>
      <c r="L316" s="42"/>
      <c r="M316" s="33"/>
      <c r="N316" s="33"/>
      <c r="O316" s="33"/>
      <c r="P316" s="33">
        <f t="shared" si="34"/>
        <v>127200</v>
      </c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35.25" customHeight="1">
      <c r="A317" s="535" t="s">
        <v>1224</v>
      </c>
      <c r="B317" s="536">
        <v>1</v>
      </c>
      <c r="C317" s="537">
        <v>7000</v>
      </c>
      <c r="D317" s="30">
        <v>12</v>
      </c>
      <c r="E317" s="32">
        <f t="shared" si="35"/>
        <v>84000</v>
      </c>
      <c r="F317" s="529" t="s">
        <v>1203</v>
      </c>
      <c r="G317" s="34"/>
      <c r="H317" s="34"/>
      <c r="I317" s="34"/>
      <c r="J317" s="34"/>
      <c r="K317" s="34"/>
      <c r="L317" s="42"/>
      <c r="M317" s="33"/>
      <c r="N317" s="33"/>
      <c r="O317" s="33"/>
      <c r="P317" s="33">
        <f t="shared" si="34"/>
        <v>84000</v>
      </c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35.25" customHeight="1">
      <c r="A318" s="535" t="s">
        <v>1236</v>
      </c>
      <c r="B318" s="536">
        <v>1</v>
      </c>
      <c r="C318" s="537">
        <v>7000</v>
      </c>
      <c r="D318" s="30">
        <v>12</v>
      </c>
      <c r="E318" s="32">
        <f t="shared" si="35"/>
        <v>84000</v>
      </c>
      <c r="F318" s="529" t="s">
        <v>1203</v>
      </c>
      <c r="G318" s="34"/>
      <c r="H318" s="34"/>
      <c r="I318" s="34"/>
      <c r="J318" s="34"/>
      <c r="K318" s="34"/>
      <c r="L318" s="42"/>
      <c r="M318" s="33"/>
      <c r="N318" s="33"/>
      <c r="O318" s="33"/>
      <c r="P318" s="33">
        <f t="shared" si="34"/>
        <v>84000</v>
      </c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35.25" customHeight="1">
      <c r="A319" s="535" t="s">
        <v>1237</v>
      </c>
      <c r="B319" s="536">
        <v>1</v>
      </c>
      <c r="C319" s="537">
        <v>17000</v>
      </c>
      <c r="D319" s="30">
        <v>12</v>
      </c>
      <c r="E319" s="32">
        <f t="shared" si="35"/>
        <v>204000</v>
      </c>
      <c r="F319" s="529" t="s">
        <v>1203</v>
      </c>
      <c r="G319" s="34"/>
      <c r="H319" s="34"/>
      <c r="I319" s="34"/>
      <c r="J319" s="34"/>
      <c r="K319" s="34"/>
      <c r="L319" s="42"/>
      <c r="M319" s="33"/>
      <c r="N319" s="33"/>
      <c r="O319" s="33"/>
      <c r="P319" s="33">
        <f t="shared" si="34"/>
        <v>204000</v>
      </c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35.25" customHeight="1">
      <c r="A320" s="535" t="s">
        <v>1238</v>
      </c>
      <c r="B320" s="536">
        <v>1</v>
      </c>
      <c r="C320" s="537">
        <v>10500</v>
      </c>
      <c r="D320" s="30">
        <v>12</v>
      </c>
      <c r="E320" s="32">
        <f t="shared" si="35"/>
        <v>126000</v>
      </c>
      <c r="F320" s="529" t="s">
        <v>1203</v>
      </c>
      <c r="G320" s="34"/>
      <c r="H320" s="34"/>
      <c r="I320" s="34"/>
      <c r="J320" s="34"/>
      <c r="K320" s="34"/>
      <c r="L320" s="42"/>
      <c r="M320" s="33"/>
      <c r="N320" s="33"/>
      <c r="O320" s="33"/>
      <c r="P320" s="33">
        <f t="shared" si="34"/>
        <v>126000</v>
      </c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35.25" customHeight="1">
      <c r="A321" s="535" t="s">
        <v>1239</v>
      </c>
      <c r="B321" s="536">
        <v>1</v>
      </c>
      <c r="C321" s="537">
        <v>7000</v>
      </c>
      <c r="D321" s="30">
        <v>12</v>
      </c>
      <c r="E321" s="32">
        <f t="shared" si="35"/>
        <v>84000</v>
      </c>
      <c r="F321" s="529" t="s">
        <v>1203</v>
      </c>
      <c r="G321" s="34"/>
      <c r="H321" s="34"/>
      <c r="I321" s="34"/>
      <c r="J321" s="34"/>
      <c r="K321" s="34"/>
      <c r="L321" s="42"/>
      <c r="M321" s="33"/>
      <c r="N321" s="33"/>
      <c r="O321" s="33"/>
      <c r="P321" s="33">
        <f t="shared" si="34"/>
        <v>84000</v>
      </c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48" customHeight="1">
      <c r="A322" s="535" t="s">
        <v>1240</v>
      </c>
      <c r="B322" s="536">
        <v>2</v>
      </c>
      <c r="C322" s="537">
        <f>9000*B322</f>
        <v>18000</v>
      </c>
      <c r="D322" s="30">
        <v>12</v>
      </c>
      <c r="E322" s="32">
        <f>+C322*D322</f>
        <v>216000</v>
      </c>
      <c r="F322" s="529" t="s">
        <v>1203</v>
      </c>
      <c r="G322" s="34"/>
      <c r="H322" s="34"/>
      <c r="I322" s="34"/>
      <c r="J322" s="34"/>
      <c r="K322" s="34"/>
      <c r="L322" s="42"/>
      <c r="M322" s="33"/>
      <c r="N322" s="33"/>
      <c r="O322" s="33"/>
      <c r="P322" s="33">
        <f t="shared" si="34"/>
        <v>216000</v>
      </c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48" customHeight="1">
      <c r="A323" s="535" t="s">
        <v>1208</v>
      </c>
      <c r="B323" s="536">
        <v>2</v>
      </c>
      <c r="C323" s="537">
        <f>14000*B323</f>
        <v>28000</v>
      </c>
      <c r="D323" s="30">
        <v>12</v>
      </c>
      <c r="E323" s="32">
        <f>+C323*D323</f>
        <v>336000</v>
      </c>
      <c r="F323" s="529" t="s">
        <v>1203</v>
      </c>
      <c r="G323" s="34"/>
      <c r="H323" s="34"/>
      <c r="I323" s="34"/>
      <c r="J323" s="34"/>
      <c r="K323" s="34"/>
      <c r="L323" s="42"/>
      <c r="M323" s="33"/>
      <c r="N323" s="33"/>
      <c r="O323" s="33"/>
      <c r="P323" s="33">
        <f t="shared" si="34"/>
        <v>336000</v>
      </c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48" customHeight="1">
      <c r="A324" s="535" t="s">
        <v>1241</v>
      </c>
      <c r="B324" s="536">
        <v>1</v>
      </c>
      <c r="C324" s="537">
        <v>10000</v>
      </c>
      <c r="D324" s="30">
        <v>12</v>
      </c>
      <c r="E324" s="32">
        <f t="shared" si="35"/>
        <v>120000</v>
      </c>
      <c r="F324" s="529" t="s">
        <v>1203</v>
      </c>
      <c r="G324" s="34"/>
      <c r="H324" s="34"/>
      <c r="I324" s="34"/>
      <c r="J324" s="34"/>
      <c r="K324" s="34"/>
      <c r="L324" s="42"/>
      <c r="M324" s="33"/>
      <c r="N324" s="33"/>
      <c r="O324" s="33"/>
      <c r="P324" s="33">
        <f t="shared" si="34"/>
        <v>120000</v>
      </c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48" customHeight="1">
      <c r="A325" s="535" t="s">
        <v>1213</v>
      </c>
      <c r="B325" s="536">
        <v>1</v>
      </c>
      <c r="C325" s="537">
        <v>5800</v>
      </c>
      <c r="D325" s="30">
        <v>12</v>
      </c>
      <c r="E325" s="32">
        <f t="shared" si="35"/>
        <v>69600</v>
      </c>
      <c r="F325" s="529" t="s">
        <v>1203</v>
      </c>
      <c r="G325" s="34"/>
      <c r="H325" s="34"/>
      <c r="I325" s="34"/>
      <c r="J325" s="34"/>
      <c r="K325" s="34"/>
      <c r="L325" s="42"/>
      <c r="M325" s="33"/>
      <c r="N325" s="33"/>
      <c r="O325" s="33"/>
      <c r="P325" s="33">
        <f t="shared" si="34"/>
        <v>69600</v>
      </c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48" customHeight="1">
      <c r="A326" s="535" t="s">
        <v>1242</v>
      </c>
      <c r="B326" s="536">
        <v>1</v>
      </c>
      <c r="C326" s="537">
        <v>9000</v>
      </c>
      <c r="D326" s="30">
        <v>12</v>
      </c>
      <c r="E326" s="32">
        <f t="shared" si="35"/>
        <v>108000</v>
      </c>
      <c r="F326" s="529" t="s">
        <v>1203</v>
      </c>
      <c r="G326" s="34"/>
      <c r="H326" s="34"/>
      <c r="I326" s="34"/>
      <c r="J326" s="34"/>
      <c r="K326" s="34"/>
      <c r="L326" s="42"/>
      <c r="M326" s="33"/>
      <c r="N326" s="33"/>
      <c r="O326" s="33"/>
      <c r="P326" s="33">
        <f t="shared" si="34"/>
        <v>108000</v>
      </c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48" customHeight="1">
      <c r="A327" s="535" t="s">
        <v>1243</v>
      </c>
      <c r="B327" s="536">
        <v>1</v>
      </c>
      <c r="C327" s="537">
        <v>7000</v>
      </c>
      <c r="D327" s="30">
        <v>12</v>
      </c>
      <c r="E327" s="32">
        <f t="shared" si="35"/>
        <v>84000</v>
      </c>
      <c r="F327" s="529" t="s">
        <v>1203</v>
      </c>
      <c r="G327" s="34"/>
      <c r="H327" s="34"/>
      <c r="I327" s="34"/>
      <c r="J327" s="34"/>
      <c r="K327" s="34"/>
      <c r="L327" s="42"/>
      <c r="M327" s="33"/>
      <c r="N327" s="33"/>
      <c r="O327" s="33"/>
      <c r="P327" s="33">
        <f t="shared" si="34"/>
        <v>84000</v>
      </c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48" customHeight="1">
      <c r="A328" s="535" t="s">
        <v>1224</v>
      </c>
      <c r="B328" s="536">
        <v>1</v>
      </c>
      <c r="C328" s="537">
        <v>7280</v>
      </c>
      <c r="D328" s="30">
        <v>12</v>
      </c>
      <c r="E328" s="32">
        <f t="shared" si="35"/>
        <v>87360</v>
      </c>
      <c r="F328" s="529" t="s">
        <v>1203</v>
      </c>
      <c r="G328" s="34"/>
      <c r="H328" s="34"/>
      <c r="I328" s="34"/>
      <c r="J328" s="34"/>
      <c r="K328" s="34"/>
      <c r="L328" s="42"/>
      <c r="M328" s="33"/>
      <c r="N328" s="33"/>
      <c r="O328" s="33"/>
      <c r="P328" s="33">
        <f t="shared" si="34"/>
        <v>87360</v>
      </c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48" customHeight="1">
      <c r="A329" s="535" t="s">
        <v>1213</v>
      </c>
      <c r="B329" s="536">
        <v>6</v>
      </c>
      <c r="C329" s="537">
        <f>6000*B329</f>
        <v>36000</v>
      </c>
      <c r="D329" s="30">
        <v>12</v>
      </c>
      <c r="E329" s="32">
        <f>+D329*C329</f>
        <v>432000</v>
      </c>
      <c r="F329" s="529" t="s">
        <v>1203</v>
      </c>
      <c r="G329" s="34"/>
      <c r="H329" s="34"/>
      <c r="I329" s="34"/>
      <c r="J329" s="34"/>
      <c r="K329" s="34"/>
      <c r="L329" s="42"/>
      <c r="M329" s="33"/>
      <c r="N329" s="33"/>
      <c r="O329" s="33"/>
      <c r="P329" s="33">
        <f t="shared" si="34"/>
        <v>432000</v>
      </c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48" customHeight="1">
      <c r="A330" s="535" t="s">
        <v>1228</v>
      </c>
      <c r="B330" s="536">
        <v>1</v>
      </c>
      <c r="C330" s="537">
        <v>10000</v>
      </c>
      <c r="D330" s="30">
        <v>12</v>
      </c>
      <c r="E330" s="32">
        <f t="shared" si="35"/>
        <v>120000</v>
      </c>
      <c r="F330" s="529" t="s">
        <v>1203</v>
      </c>
      <c r="G330" s="34"/>
      <c r="H330" s="34"/>
      <c r="I330" s="34"/>
      <c r="J330" s="34"/>
      <c r="K330" s="34"/>
      <c r="L330" s="42"/>
      <c r="M330" s="33"/>
      <c r="N330" s="33"/>
      <c r="O330" s="33"/>
      <c r="P330" s="33">
        <f t="shared" si="34"/>
        <v>120000</v>
      </c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48" customHeight="1">
      <c r="A331" s="535" t="s">
        <v>1244</v>
      </c>
      <c r="B331" s="536">
        <v>1</v>
      </c>
      <c r="C331" s="537">
        <v>5000</v>
      </c>
      <c r="D331" s="30">
        <v>12</v>
      </c>
      <c r="E331" s="32">
        <f t="shared" si="35"/>
        <v>60000</v>
      </c>
      <c r="F331" s="529" t="s">
        <v>1203</v>
      </c>
      <c r="G331" s="34"/>
      <c r="H331" s="34"/>
      <c r="I331" s="34"/>
      <c r="J331" s="34"/>
      <c r="K331" s="34"/>
      <c r="L331" s="42"/>
      <c r="M331" s="33"/>
      <c r="N331" s="33"/>
      <c r="O331" s="33"/>
      <c r="P331" s="33">
        <f t="shared" si="34"/>
        <v>60000</v>
      </c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48" customHeight="1">
      <c r="A332" s="535" t="s">
        <v>1245</v>
      </c>
      <c r="B332" s="536">
        <v>1</v>
      </c>
      <c r="C332" s="537">
        <v>10000</v>
      </c>
      <c r="D332" s="30">
        <v>12</v>
      </c>
      <c r="E332" s="32">
        <f t="shared" si="35"/>
        <v>120000</v>
      </c>
      <c r="F332" s="529" t="s">
        <v>1203</v>
      </c>
      <c r="G332" s="34"/>
      <c r="H332" s="34"/>
      <c r="I332" s="34"/>
      <c r="J332" s="34"/>
      <c r="K332" s="34"/>
      <c r="L332" s="42"/>
      <c r="M332" s="33"/>
      <c r="N332" s="33"/>
      <c r="O332" s="33"/>
      <c r="P332" s="33">
        <f t="shared" si="34"/>
        <v>120000</v>
      </c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48" customHeight="1">
      <c r="A333" s="535" t="s">
        <v>1213</v>
      </c>
      <c r="B333" s="536">
        <v>1</v>
      </c>
      <c r="C333" s="537">
        <v>6500</v>
      </c>
      <c r="D333" s="30">
        <v>12</v>
      </c>
      <c r="E333" s="32">
        <f t="shared" si="35"/>
        <v>78000</v>
      </c>
      <c r="F333" s="529" t="s">
        <v>1203</v>
      </c>
      <c r="G333" s="34"/>
      <c r="H333" s="34"/>
      <c r="I333" s="34"/>
      <c r="J333" s="34"/>
      <c r="K333" s="34"/>
      <c r="L333" s="42"/>
      <c r="M333" s="33"/>
      <c r="N333" s="33"/>
      <c r="O333" s="33"/>
      <c r="P333" s="33">
        <f t="shared" si="34"/>
        <v>78000</v>
      </c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48" customHeight="1">
      <c r="A334" s="535" t="s">
        <v>1215</v>
      </c>
      <c r="B334" s="536">
        <v>2</v>
      </c>
      <c r="C334" s="537">
        <f>9000*B334</f>
        <v>18000</v>
      </c>
      <c r="D334" s="30">
        <v>12</v>
      </c>
      <c r="E334" s="32">
        <f>+C334*D334</f>
        <v>216000</v>
      </c>
      <c r="F334" s="529" t="s">
        <v>1203</v>
      </c>
      <c r="G334" s="34"/>
      <c r="H334" s="34"/>
      <c r="I334" s="34"/>
      <c r="J334" s="34"/>
      <c r="K334" s="34"/>
      <c r="L334" s="42"/>
      <c r="M334" s="33"/>
      <c r="N334" s="33"/>
      <c r="O334" s="33"/>
      <c r="P334" s="33">
        <f t="shared" si="34"/>
        <v>216000</v>
      </c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48" customHeight="1">
      <c r="A335" s="535" t="s">
        <v>1246</v>
      </c>
      <c r="B335" s="536">
        <v>2</v>
      </c>
      <c r="C335" s="537">
        <f>17000*B335</f>
        <v>34000</v>
      </c>
      <c r="D335" s="30">
        <v>12</v>
      </c>
      <c r="E335" s="32">
        <f>+C335*D335</f>
        <v>408000</v>
      </c>
      <c r="F335" s="529" t="s">
        <v>1203</v>
      </c>
      <c r="G335" s="34"/>
      <c r="H335" s="34"/>
      <c r="I335" s="34"/>
      <c r="J335" s="34"/>
      <c r="K335" s="34"/>
      <c r="L335" s="42"/>
      <c r="M335" s="33"/>
      <c r="N335" s="33"/>
      <c r="O335" s="33"/>
      <c r="P335" s="33">
        <f t="shared" si="34"/>
        <v>408000</v>
      </c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48" customHeight="1">
      <c r="A336" s="535" t="s">
        <v>1247</v>
      </c>
      <c r="B336" s="536">
        <v>1</v>
      </c>
      <c r="C336" s="537">
        <v>4500</v>
      </c>
      <c r="D336" s="30">
        <v>12</v>
      </c>
      <c r="E336" s="32">
        <f t="shared" si="35"/>
        <v>54000</v>
      </c>
      <c r="F336" s="529" t="s">
        <v>1203</v>
      </c>
      <c r="G336" s="34"/>
      <c r="H336" s="34"/>
      <c r="I336" s="34"/>
      <c r="J336" s="34"/>
      <c r="K336" s="34"/>
      <c r="L336" s="42"/>
      <c r="M336" s="33"/>
      <c r="N336" s="33"/>
      <c r="O336" s="33"/>
      <c r="P336" s="33">
        <f t="shared" si="34"/>
        <v>54000</v>
      </c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48" customHeight="1">
      <c r="A337" s="535" t="s">
        <v>1213</v>
      </c>
      <c r="B337" s="536">
        <v>3</v>
      </c>
      <c r="C337" s="537">
        <f>7000*3</f>
        <v>21000</v>
      </c>
      <c r="D337" s="30">
        <v>12</v>
      </c>
      <c r="E337" s="32">
        <f>+D337*C337</f>
        <v>252000</v>
      </c>
      <c r="F337" s="529" t="s">
        <v>1203</v>
      </c>
      <c r="G337" s="34"/>
      <c r="H337" s="34"/>
      <c r="I337" s="34"/>
      <c r="J337" s="34"/>
      <c r="K337" s="34"/>
      <c r="L337" s="42"/>
      <c r="M337" s="33"/>
      <c r="N337" s="33"/>
      <c r="O337" s="33"/>
      <c r="P337" s="33">
        <f t="shared" si="34"/>
        <v>252000</v>
      </c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48" customHeight="1">
      <c r="A338" s="538" t="s">
        <v>1248</v>
      </c>
      <c r="B338" s="539">
        <v>1</v>
      </c>
      <c r="C338" s="540">
        <v>5544</v>
      </c>
      <c r="D338" s="30">
        <v>12</v>
      </c>
      <c r="E338" s="32">
        <f t="shared" si="35"/>
        <v>66528</v>
      </c>
      <c r="F338" s="529" t="s">
        <v>1203</v>
      </c>
      <c r="G338" s="34"/>
      <c r="H338" s="34"/>
      <c r="I338" s="34"/>
      <c r="J338" s="34"/>
      <c r="K338" s="34"/>
      <c r="L338" s="42"/>
      <c r="M338" s="33"/>
      <c r="N338" s="33"/>
      <c r="O338" s="33"/>
      <c r="P338" s="33">
        <f t="shared" si="34"/>
        <v>66528</v>
      </c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48" customHeight="1">
      <c r="A339" s="535" t="s">
        <v>1213</v>
      </c>
      <c r="B339" s="536">
        <v>2</v>
      </c>
      <c r="C339" s="537">
        <f>7500*B339</f>
        <v>15000</v>
      </c>
      <c r="D339" s="30">
        <v>12</v>
      </c>
      <c r="E339" s="32">
        <f>+D339*C339</f>
        <v>180000</v>
      </c>
      <c r="F339" s="529" t="s">
        <v>1203</v>
      </c>
      <c r="G339" s="34"/>
      <c r="H339" s="34"/>
      <c r="I339" s="34"/>
      <c r="J339" s="34"/>
      <c r="K339" s="34"/>
      <c r="L339" s="42"/>
      <c r="M339" s="33"/>
      <c r="N339" s="33"/>
      <c r="O339" s="33"/>
      <c r="P339" s="33">
        <f t="shared" si="34"/>
        <v>180000</v>
      </c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48" customHeight="1">
      <c r="A340" s="535" t="s">
        <v>1213</v>
      </c>
      <c r="B340" s="536">
        <v>4</v>
      </c>
      <c r="C340" s="537">
        <f>8000*B340</f>
        <v>32000</v>
      </c>
      <c r="D340" s="30">
        <v>12</v>
      </c>
      <c r="E340" s="32">
        <f>+C340*D340</f>
        <v>384000</v>
      </c>
      <c r="F340" s="529" t="s">
        <v>1203</v>
      </c>
      <c r="G340" s="34"/>
      <c r="H340" s="34"/>
      <c r="I340" s="34"/>
      <c r="J340" s="34"/>
      <c r="K340" s="34"/>
      <c r="L340" s="42"/>
      <c r="M340" s="33"/>
      <c r="N340" s="33"/>
      <c r="O340" s="33"/>
      <c r="P340" s="33">
        <f t="shared" si="34"/>
        <v>384000</v>
      </c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48" customHeight="1">
      <c r="A341" s="535" t="s">
        <v>1213</v>
      </c>
      <c r="B341" s="536">
        <v>2</v>
      </c>
      <c r="C341" s="537">
        <f>8900*B341</f>
        <v>17800</v>
      </c>
      <c r="D341" s="30">
        <v>12</v>
      </c>
      <c r="E341" s="32">
        <f>+D341*C341</f>
        <v>213600</v>
      </c>
      <c r="F341" s="529" t="s">
        <v>1203</v>
      </c>
      <c r="G341" s="34"/>
      <c r="H341" s="34"/>
      <c r="I341" s="34"/>
      <c r="J341" s="34"/>
      <c r="K341" s="34"/>
      <c r="L341" s="42"/>
      <c r="M341" s="33"/>
      <c r="N341" s="33"/>
      <c r="O341" s="33"/>
      <c r="P341" s="33">
        <f t="shared" si="34"/>
        <v>213600</v>
      </c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48" customHeight="1">
      <c r="A342" s="535" t="s">
        <v>1249</v>
      </c>
      <c r="B342" s="536">
        <v>1</v>
      </c>
      <c r="C342" s="537">
        <v>17000</v>
      </c>
      <c r="D342" s="30">
        <v>12</v>
      </c>
      <c r="E342" s="32">
        <f t="shared" si="35"/>
        <v>204000</v>
      </c>
      <c r="F342" s="529" t="s">
        <v>1203</v>
      </c>
      <c r="G342" s="34"/>
      <c r="H342" s="34"/>
      <c r="I342" s="34"/>
      <c r="J342" s="34"/>
      <c r="K342" s="34"/>
      <c r="L342" s="42"/>
      <c r="M342" s="33"/>
      <c r="N342" s="33"/>
      <c r="O342" s="33"/>
      <c r="P342" s="33">
        <f t="shared" ref="P342:P387" si="36">+E342</f>
        <v>204000</v>
      </c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48" customHeight="1">
      <c r="A343" s="535" t="s">
        <v>1213</v>
      </c>
      <c r="B343" s="536">
        <v>3</v>
      </c>
      <c r="C343" s="537">
        <f>9000*B343</f>
        <v>27000</v>
      </c>
      <c r="D343" s="30">
        <v>12</v>
      </c>
      <c r="E343" s="32">
        <f>+D343*C343</f>
        <v>324000</v>
      </c>
      <c r="F343" s="529" t="s">
        <v>1203</v>
      </c>
      <c r="G343" s="34"/>
      <c r="H343" s="34"/>
      <c r="I343" s="34"/>
      <c r="J343" s="34"/>
      <c r="K343" s="34"/>
      <c r="L343" s="42"/>
      <c r="M343" s="33"/>
      <c r="N343" s="33"/>
      <c r="O343" s="33"/>
      <c r="P343" s="33">
        <f t="shared" si="36"/>
        <v>324000</v>
      </c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48" customHeight="1">
      <c r="A344" s="535" t="s">
        <v>1250</v>
      </c>
      <c r="B344" s="536">
        <v>1</v>
      </c>
      <c r="C344" s="537">
        <v>5000</v>
      </c>
      <c r="D344" s="30">
        <v>12</v>
      </c>
      <c r="E344" s="32">
        <f t="shared" si="35"/>
        <v>60000</v>
      </c>
      <c r="F344" s="529" t="s">
        <v>1203</v>
      </c>
      <c r="G344" s="34"/>
      <c r="H344" s="34"/>
      <c r="I344" s="34"/>
      <c r="J344" s="34"/>
      <c r="K344" s="34"/>
      <c r="L344" s="42"/>
      <c r="M344" s="33"/>
      <c r="N344" s="33"/>
      <c r="O344" s="33"/>
      <c r="P344" s="33">
        <f t="shared" si="36"/>
        <v>60000</v>
      </c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48" customHeight="1">
      <c r="A345" s="535" t="s">
        <v>1225</v>
      </c>
      <c r="B345" s="536">
        <v>1</v>
      </c>
      <c r="C345" s="537">
        <v>7000</v>
      </c>
      <c r="D345" s="30">
        <v>12</v>
      </c>
      <c r="E345" s="32">
        <f t="shared" si="35"/>
        <v>84000</v>
      </c>
      <c r="F345" s="529" t="s">
        <v>1203</v>
      </c>
      <c r="G345" s="34"/>
      <c r="H345" s="34"/>
      <c r="I345" s="34"/>
      <c r="J345" s="34"/>
      <c r="K345" s="34"/>
      <c r="L345" s="42"/>
      <c r="M345" s="33"/>
      <c r="N345" s="33"/>
      <c r="O345" s="33"/>
      <c r="P345" s="33">
        <f t="shared" si="36"/>
        <v>84000</v>
      </c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48" customHeight="1">
      <c r="A346" s="535" t="s">
        <v>1213</v>
      </c>
      <c r="B346" s="536">
        <v>1</v>
      </c>
      <c r="C346" s="537">
        <v>9500</v>
      </c>
      <c r="D346" s="30">
        <v>12</v>
      </c>
      <c r="E346" s="32">
        <f t="shared" si="35"/>
        <v>114000</v>
      </c>
      <c r="F346" s="529" t="s">
        <v>1203</v>
      </c>
      <c r="G346" s="34"/>
      <c r="H346" s="34"/>
      <c r="I346" s="34"/>
      <c r="J346" s="34"/>
      <c r="K346" s="34"/>
      <c r="L346" s="42"/>
      <c r="M346" s="33"/>
      <c r="N346" s="33"/>
      <c r="O346" s="33"/>
      <c r="P346" s="33">
        <f t="shared" si="36"/>
        <v>114000</v>
      </c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48" customHeight="1">
      <c r="A347" s="535" t="s">
        <v>1251</v>
      </c>
      <c r="B347" s="536">
        <v>1</v>
      </c>
      <c r="C347" s="537">
        <v>14000</v>
      </c>
      <c r="D347" s="30">
        <v>12</v>
      </c>
      <c r="E347" s="32">
        <f t="shared" si="35"/>
        <v>168000</v>
      </c>
      <c r="F347" s="529" t="s">
        <v>1203</v>
      </c>
      <c r="G347" s="34"/>
      <c r="H347" s="34"/>
      <c r="I347" s="34"/>
      <c r="J347" s="34"/>
      <c r="K347" s="34"/>
      <c r="L347" s="42"/>
      <c r="M347" s="33"/>
      <c r="N347" s="33"/>
      <c r="O347" s="33"/>
      <c r="P347" s="33">
        <f t="shared" si="36"/>
        <v>168000</v>
      </c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48" customHeight="1">
      <c r="A348" s="535" t="s">
        <v>1252</v>
      </c>
      <c r="B348" s="536">
        <v>2</v>
      </c>
      <c r="C348" s="537">
        <f>6000*2</f>
        <v>12000</v>
      </c>
      <c r="D348" s="30">
        <v>12</v>
      </c>
      <c r="E348" s="32">
        <f>+D348*C348</f>
        <v>144000</v>
      </c>
      <c r="F348" s="529" t="s">
        <v>1203</v>
      </c>
      <c r="G348" s="34"/>
      <c r="H348" s="34"/>
      <c r="I348" s="34"/>
      <c r="J348" s="34"/>
      <c r="K348" s="34"/>
      <c r="L348" s="42"/>
      <c r="M348" s="33"/>
      <c r="N348" s="33"/>
      <c r="O348" s="33"/>
      <c r="P348" s="33">
        <f t="shared" si="36"/>
        <v>144000</v>
      </c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48" customHeight="1">
      <c r="A349" s="535" t="s">
        <v>1253</v>
      </c>
      <c r="B349" s="536">
        <v>1</v>
      </c>
      <c r="C349" s="537">
        <v>6000</v>
      </c>
      <c r="D349" s="30">
        <v>12</v>
      </c>
      <c r="E349" s="32">
        <f t="shared" si="35"/>
        <v>72000</v>
      </c>
      <c r="F349" s="529" t="s">
        <v>1203</v>
      </c>
      <c r="G349" s="34"/>
      <c r="H349" s="34"/>
      <c r="I349" s="34"/>
      <c r="J349" s="34"/>
      <c r="K349" s="34"/>
      <c r="L349" s="42"/>
      <c r="M349" s="33"/>
      <c r="N349" s="33"/>
      <c r="O349" s="33"/>
      <c r="P349" s="33">
        <f t="shared" si="36"/>
        <v>72000</v>
      </c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48" customHeight="1">
      <c r="A350" s="535" t="s">
        <v>1254</v>
      </c>
      <c r="B350" s="536">
        <v>1</v>
      </c>
      <c r="C350" s="537">
        <v>13000</v>
      </c>
      <c r="D350" s="30">
        <v>12</v>
      </c>
      <c r="E350" s="32">
        <f t="shared" si="35"/>
        <v>156000</v>
      </c>
      <c r="F350" s="529" t="s">
        <v>1203</v>
      </c>
      <c r="G350" s="34"/>
      <c r="H350" s="34"/>
      <c r="I350" s="34"/>
      <c r="J350" s="34"/>
      <c r="K350" s="34"/>
      <c r="L350" s="42"/>
      <c r="M350" s="33"/>
      <c r="N350" s="33"/>
      <c r="O350" s="33"/>
      <c r="P350" s="33">
        <f t="shared" si="36"/>
        <v>156000</v>
      </c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48" customHeight="1">
      <c r="A351" s="535" t="s">
        <v>1255</v>
      </c>
      <c r="B351" s="536">
        <v>1</v>
      </c>
      <c r="C351" s="537">
        <v>11500</v>
      </c>
      <c r="D351" s="30">
        <v>12</v>
      </c>
      <c r="E351" s="32">
        <f t="shared" si="35"/>
        <v>138000</v>
      </c>
      <c r="F351" s="529" t="s">
        <v>1203</v>
      </c>
      <c r="G351" s="34"/>
      <c r="H351" s="34"/>
      <c r="I351" s="34"/>
      <c r="J351" s="34"/>
      <c r="K351" s="34"/>
      <c r="L351" s="42"/>
      <c r="M351" s="33"/>
      <c r="N351" s="33"/>
      <c r="O351" s="33"/>
      <c r="P351" s="33">
        <f t="shared" si="36"/>
        <v>138000</v>
      </c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48" customHeight="1">
      <c r="A352" s="535" t="s">
        <v>1256</v>
      </c>
      <c r="B352" s="536">
        <v>1</v>
      </c>
      <c r="C352" s="537">
        <v>4000</v>
      </c>
      <c r="D352" s="30">
        <v>12</v>
      </c>
      <c r="E352" s="32">
        <f t="shared" si="35"/>
        <v>48000</v>
      </c>
      <c r="F352" s="529" t="s">
        <v>1203</v>
      </c>
      <c r="G352" s="34"/>
      <c r="H352" s="34"/>
      <c r="I352" s="34"/>
      <c r="J352" s="34"/>
      <c r="K352" s="34"/>
      <c r="L352" s="42"/>
      <c r="M352" s="33"/>
      <c r="N352" s="33"/>
      <c r="O352" s="33"/>
      <c r="P352" s="33">
        <f t="shared" si="36"/>
        <v>48000</v>
      </c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48" customHeight="1">
      <c r="A353" s="535" t="s">
        <v>1228</v>
      </c>
      <c r="B353" s="536">
        <v>1</v>
      </c>
      <c r="C353" s="537">
        <v>15000</v>
      </c>
      <c r="D353" s="30">
        <v>12</v>
      </c>
      <c r="E353" s="32">
        <f t="shared" si="35"/>
        <v>180000</v>
      </c>
      <c r="F353" s="529" t="s">
        <v>1203</v>
      </c>
      <c r="G353" s="34"/>
      <c r="H353" s="34"/>
      <c r="I353" s="34"/>
      <c r="J353" s="34"/>
      <c r="K353" s="34"/>
      <c r="L353" s="42"/>
      <c r="M353" s="33"/>
      <c r="N353" s="33"/>
      <c r="O353" s="33"/>
      <c r="P353" s="33">
        <f t="shared" si="36"/>
        <v>180000</v>
      </c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48" customHeight="1">
      <c r="A354" s="535" t="s">
        <v>1257</v>
      </c>
      <c r="B354" s="536">
        <v>1</v>
      </c>
      <c r="C354" s="537">
        <v>23000</v>
      </c>
      <c r="D354" s="30">
        <v>12</v>
      </c>
      <c r="E354" s="32">
        <f t="shared" si="35"/>
        <v>276000</v>
      </c>
      <c r="F354" s="529" t="s">
        <v>1203</v>
      </c>
      <c r="G354" s="34"/>
      <c r="H354" s="34"/>
      <c r="I354" s="34"/>
      <c r="J354" s="34"/>
      <c r="K354" s="34"/>
      <c r="L354" s="42"/>
      <c r="M354" s="33"/>
      <c r="N354" s="33"/>
      <c r="O354" s="33"/>
      <c r="P354" s="33">
        <f t="shared" si="36"/>
        <v>276000</v>
      </c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48" customHeight="1">
      <c r="A355" s="535" t="s">
        <v>1256</v>
      </c>
      <c r="B355" s="536">
        <v>1</v>
      </c>
      <c r="C355" s="537">
        <v>4500</v>
      </c>
      <c r="D355" s="30">
        <v>12</v>
      </c>
      <c r="E355" s="32">
        <f t="shared" si="35"/>
        <v>54000</v>
      </c>
      <c r="F355" s="529" t="s">
        <v>1203</v>
      </c>
      <c r="G355" s="34"/>
      <c r="H355" s="34"/>
      <c r="I355" s="34"/>
      <c r="J355" s="34"/>
      <c r="K355" s="34"/>
      <c r="L355" s="42"/>
      <c r="M355" s="33"/>
      <c r="N355" s="33"/>
      <c r="O355" s="33"/>
      <c r="P355" s="33">
        <f t="shared" si="36"/>
        <v>54000</v>
      </c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48" customHeight="1">
      <c r="A356" s="535" t="s">
        <v>1213</v>
      </c>
      <c r="B356" s="536">
        <v>1</v>
      </c>
      <c r="C356" s="537">
        <v>9900</v>
      </c>
      <c r="D356" s="30">
        <v>12</v>
      </c>
      <c r="E356" s="32">
        <f t="shared" si="35"/>
        <v>118800</v>
      </c>
      <c r="F356" s="529" t="s">
        <v>1203</v>
      </c>
      <c r="G356" s="34"/>
      <c r="H356" s="34"/>
      <c r="I356" s="34"/>
      <c r="J356" s="34"/>
      <c r="K356" s="34"/>
      <c r="L356" s="42"/>
      <c r="M356" s="33"/>
      <c r="N356" s="33"/>
      <c r="O356" s="33"/>
      <c r="P356" s="33">
        <f t="shared" si="36"/>
        <v>118800</v>
      </c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48" customHeight="1">
      <c r="A357" s="535" t="s">
        <v>1258</v>
      </c>
      <c r="B357" s="536">
        <v>1</v>
      </c>
      <c r="C357" s="537">
        <v>14000</v>
      </c>
      <c r="D357" s="30">
        <v>12</v>
      </c>
      <c r="E357" s="32">
        <f t="shared" si="35"/>
        <v>168000</v>
      </c>
      <c r="F357" s="529" t="s">
        <v>1203</v>
      </c>
      <c r="G357" s="34"/>
      <c r="H357" s="34"/>
      <c r="I357" s="34"/>
      <c r="J357" s="34"/>
      <c r="K357" s="34"/>
      <c r="L357" s="42"/>
      <c r="M357" s="33"/>
      <c r="N357" s="33"/>
      <c r="O357" s="33"/>
      <c r="P357" s="33">
        <f t="shared" si="36"/>
        <v>168000</v>
      </c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48" customHeight="1">
      <c r="A358" s="535" t="s">
        <v>1259</v>
      </c>
      <c r="B358" s="536">
        <v>1</v>
      </c>
      <c r="C358" s="537">
        <v>3000</v>
      </c>
      <c r="D358" s="30">
        <v>12</v>
      </c>
      <c r="E358" s="32">
        <f t="shared" si="35"/>
        <v>36000</v>
      </c>
      <c r="F358" s="529" t="s">
        <v>1203</v>
      </c>
      <c r="G358" s="34"/>
      <c r="H358" s="34"/>
      <c r="I358" s="34"/>
      <c r="J358" s="34"/>
      <c r="K358" s="34"/>
      <c r="L358" s="42"/>
      <c r="M358" s="33"/>
      <c r="N358" s="33"/>
      <c r="O358" s="33"/>
      <c r="P358" s="33">
        <f t="shared" si="36"/>
        <v>36000</v>
      </c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53.25" customHeight="1">
      <c r="A359" s="535" t="s">
        <v>1260</v>
      </c>
      <c r="B359" s="536">
        <v>1</v>
      </c>
      <c r="C359" s="537">
        <v>8000</v>
      </c>
      <c r="D359" s="30">
        <v>12</v>
      </c>
      <c r="E359" s="32">
        <f t="shared" si="35"/>
        <v>96000</v>
      </c>
      <c r="F359" s="529" t="s">
        <v>1203</v>
      </c>
      <c r="G359" s="34"/>
      <c r="H359" s="34"/>
      <c r="I359" s="34"/>
      <c r="J359" s="34"/>
      <c r="K359" s="34"/>
      <c r="L359" s="42"/>
      <c r="M359" s="33"/>
      <c r="N359" s="33"/>
      <c r="O359" s="33"/>
      <c r="P359" s="33">
        <f t="shared" si="36"/>
        <v>96000</v>
      </c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62.25" customHeight="1">
      <c r="A360" s="535" t="s">
        <v>1261</v>
      </c>
      <c r="B360" s="536">
        <v>1</v>
      </c>
      <c r="C360" s="537">
        <v>10000</v>
      </c>
      <c r="D360" s="30">
        <v>12</v>
      </c>
      <c r="E360" s="32">
        <f t="shared" si="35"/>
        <v>120000</v>
      </c>
      <c r="F360" s="529" t="s">
        <v>1203</v>
      </c>
      <c r="G360" s="34"/>
      <c r="H360" s="34"/>
      <c r="I360" s="34"/>
      <c r="J360" s="34"/>
      <c r="K360" s="34"/>
      <c r="L360" s="42"/>
      <c r="M360" s="33"/>
      <c r="N360" s="33"/>
      <c r="O360" s="33"/>
      <c r="P360" s="33">
        <f t="shared" si="36"/>
        <v>120000</v>
      </c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33.75" customHeight="1">
      <c r="A361" s="535" t="s">
        <v>1262</v>
      </c>
      <c r="B361" s="536">
        <v>1</v>
      </c>
      <c r="C361" s="537">
        <v>7000</v>
      </c>
      <c r="D361" s="30">
        <v>12</v>
      </c>
      <c r="E361" s="32">
        <f t="shared" si="35"/>
        <v>84000</v>
      </c>
      <c r="F361" s="529" t="s">
        <v>1203</v>
      </c>
      <c r="G361" s="34"/>
      <c r="H361" s="34"/>
      <c r="I361" s="34"/>
      <c r="J361" s="34"/>
      <c r="K361" s="34"/>
      <c r="L361" s="42"/>
      <c r="M361" s="33"/>
      <c r="N361" s="33"/>
      <c r="O361" s="33"/>
      <c r="P361" s="33">
        <f t="shared" si="36"/>
        <v>84000</v>
      </c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22.5" customHeight="1">
      <c r="A362" s="535" t="s">
        <v>1213</v>
      </c>
      <c r="B362" s="536">
        <v>2</v>
      </c>
      <c r="C362" s="537">
        <f>10900*2</f>
        <v>21800</v>
      </c>
      <c r="D362" s="30">
        <v>12</v>
      </c>
      <c r="E362" s="32">
        <f>+D362*C362</f>
        <v>261600</v>
      </c>
      <c r="F362" s="529" t="s">
        <v>1203</v>
      </c>
      <c r="G362" s="34"/>
      <c r="H362" s="34"/>
      <c r="I362" s="34"/>
      <c r="J362" s="34"/>
      <c r="K362" s="34"/>
      <c r="L362" s="42"/>
      <c r="M362" s="33"/>
      <c r="N362" s="33"/>
      <c r="O362" s="33"/>
      <c r="P362" s="33">
        <f t="shared" si="36"/>
        <v>261600</v>
      </c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54.75" customHeight="1">
      <c r="A363" s="535" t="s">
        <v>1215</v>
      </c>
      <c r="B363" s="536">
        <v>1</v>
      </c>
      <c r="C363" s="537">
        <v>6500</v>
      </c>
      <c r="D363" s="30">
        <v>12</v>
      </c>
      <c r="E363" s="32">
        <f t="shared" si="35"/>
        <v>78000</v>
      </c>
      <c r="F363" s="529" t="s">
        <v>1203</v>
      </c>
      <c r="G363" s="34"/>
      <c r="H363" s="34"/>
      <c r="I363" s="34"/>
      <c r="J363" s="34"/>
      <c r="K363" s="34"/>
      <c r="L363" s="42"/>
      <c r="M363" s="33"/>
      <c r="N363" s="33"/>
      <c r="O363" s="33"/>
      <c r="P363" s="33">
        <f t="shared" si="36"/>
        <v>78000</v>
      </c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33" customHeight="1">
      <c r="A364" s="535" t="s">
        <v>1245</v>
      </c>
      <c r="B364" s="536">
        <v>1</v>
      </c>
      <c r="C364" s="537">
        <v>15000</v>
      </c>
      <c r="D364" s="30">
        <v>12</v>
      </c>
      <c r="E364" s="32">
        <f t="shared" si="35"/>
        <v>180000</v>
      </c>
      <c r="F364" s="529" t="s">
        <v>1203</v>
      </c>
      <c r="G364" s="34"/>
      <c r="H364" s="34"/>
      <c r="I364" s="34"/>
      <c r="J364" s="34"/>
      <c r="K364" s="34"/>
      <c r="L364" s="42"/>
      <c r="M364" s="33"/>
      <c r="N364" s="33"/>
      <c r="O364" s="33"/>
      <c r="P364" s="33">
        <f t="shared" si="36"/>
        <v>180000</v>
      </c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33" customHeight="1">
      <c r="A365" s="535" t="s">
        <v>1263</v>
      </c>
      <c r="B365" s="536">
        <v>1</v>
      </c>
      <c r="C365" s="537">
        <v>10500</v>
      </c>
      <c r="D365" s="30">
        <v>12</v>
      </c>
      <c r="E365" s="32">
        <f t="shared" si="35"/>
        <v>126000</v>
      </c>
      <c r="F365" s="529" t="s">
        <v>1203</v>
      </c>
      <c r="G365" s="34"/>
      <c r="H365" s="34"/>
      <c r="I365" s="34"/>
      <c r="J365" s="34"/>
      <c r="K365" s="34"/>
      <c r="L365" s="42"/>
      <c r="M365" s="33"/>
      <c r="N365" s="33"/>
      <c r="O365" s="33"/>
      <c r="P365" s="33">
        <f t="shared" si="36"/>
        <v>126000</v>
      </c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33" customHeight="1">
      <c r="A366" s="535" t="s">
        <v>1264</v>
      </c>
      <c r="B366" s="536">
        <v>1</v>
      </c>
      <c r="C366" s="537">
        <v>10000</v>
      </c>
      <c r="D366" s="30">
        <v>12</v>
      </c>
      <c r="E366" s="32">
        <f t="shared" si="35"/>
        <v>120000</v>
      </c>
      <c r="F366" s="529" t="s">
        <v>1203</v>
      </c>
      <c r="G366" s="34"/>
      <c r="H366" s="34"/>
      <c r="I366" s="34"/>
      <c r="J366" s="34"/>
      <c r="K366" s="34"/>
      <c r="L366" s="42"/>
      <c r="M366" s="33"/>
      <c r="N366" s="33"/>
      <c r="O366" s="33"/>
      <c r="P366" s="33">
        <f t="shared" si="36"/>
        <v>120000</v>
      </c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33" customHeight="1">
      <c r="A367" s="535" t="s">
        <v>1265</v>
      </c>
      <c r="B367" s="536">
        <v>1</v>
      </c>
      <c r="C367" s="537">
        <v>6000</v>
      </c>
      <c r="D367" s="30">
        <v>12</v>
      </c>
      <c r="E367" s="32">
        <f t="shared" si="35"/>
        <v>72000</v>
      </c>
      <c r="F367" s="529" t="s">
        <v>1203</v>
      </c>
      <c r="G367" s="34"/>
      <c r="H367" s="34"/>
      <c r="I367" s="34"/>
      <c r="J367" s="34"/>
      <c r="K367" s="34"/>
      <c r="L367" s="42"/>
      <c r="M367" s="33"/>
      <c r="N367" s="33"/>
      <c r="O367" s="33"/>
      <c r="P367" s="33">
        <f t="shared" si="36"/>
        <v>72000</v>
      </c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33" customHeight="1">
      <c r="A368" s="535" t="s">
        <v>1266</v>
      </c>
      <c r="B368" s="536">
        <v>1</v>
      </c>
      <c r="C368" s="537">
        <v>15000</v>
      </c>
      <c r="D368" s="30">
        <v>12</v>
      </c>
      <c r="E368" s="32">
        <f t="shared" si="35"/>
        <v>180000</v>
      </c>
      <c r="F368" s="529" t="s">
        <v>1203</v>
      </c>
      <c r="G368" s="34"/>
      <c r="H368" s="34"/>
      <c r="I368" s="34"/>
      <c r="J368" s="34"/>
      <c r="K368" s="34"/>
      <c r="L368" s="42"/>
      <c r="M368" s="33"/>
      <c r="N368" s="33"/>
      <c r="O368" s="33"/>
      <c r="P368" s="33">
        <f t="shared" si="36"/>
        <v>180000</v>
      </c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33" customHeight="1">
      <c r="A369" s="535" t="s">
        <v>1267</v>
      </c>
      <c r="B369" s="536">
        <v>1</v>
      </c>
      <c r="C369" s="537">
        <v>6500</v>
      </c>
      <c r="D369" s="30">
        <v>12</v>
      </c>
      <c r="E369" s="32">
        <f t="shared" si="35"/>
        <v>78000</v>
      </c>
      <c r="F369" s="529" t="s">
        <v>1203</v>
      </c>
      <c r="G369" s="34"/>
      <c r="H369" s="34"/>
      <c r="I369" s="34"/>
      <c r="J369" s="34"/>
      <c r="K369" s="34"/>
      <c r="L369" s="42"/>
      <c r="M369" s="33"/>
      <c r="N369" s="33"/>
      <c r="O369" s="33"/>
      <c r="P369" s="33">
        <f t="shared" si="36"/>
        <v>78000</v>
      </c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33" customHeight="1">
      <c r="A370" s="535" t="s">
        <v>1268</v>
      </c>
      <c r="B370" s="536">
        <v>1</v>
      </c>
      <c r="C370" s="537">
        <v>10000</v>
      </c>
      <c r="D370" s="30">
        <v>12</v>
      </c>
      <c r="E370" s="32">
        <f t="shared" si="35"/>
        <v>120000</v>
      </c>
      <c r="F370" s="529" t="s">
        <v>1203</v>
      </c>
      <c r="G370" s="34"/>
      <c r="H370" s="34"/>
      <c r="I370" s="34"/>
      <c r="J370" s="34"/>
      <c r="K370" s="34"/>
      <c r="L370" s="42"/>
      <c r="M370" s="33"/>
      <c r="N370" s="33"/>
      <c r="O370" s="33"/>
      <c r="P370" s="33">
        <f t="shared" si="36"/>
        <v>120000</v>
      </c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33" customHeight="1">
      <c r="A371" s="535" t="s">
        <v>1269</v>
      </c>
      <c r="B371" s="536">
        <v>1</v>
      </c>
      <c r="C371" s="537">
        <v>14000</v>
      </c>
      <c r="D371" s="30">
        <v>12</v>
      </c>
      <c r="E371" s="32">
        <f t="shared" si="35"/>
        <v>168000</v>
      </c>
      <c r="F371" s="529" t="s">
        <v>1203</v>
      </c>
      <c r="G371" s="34"/>
      <c r="H371" s="34"/>
      <c r="I371" s="34"/>
      <c r="J371" s="34"/>
      <c r="K371" s="34"/>
      <c r="L371" s="42"/>
      <c r="M371" s="33"/>
      <c r="N371" s="33"/>
      <c r="O371" s="33"/>
      <c r="P371" s="33">
        <f t="shared" si="36"/>
        <v>168000</v>
      </c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33" customHeight="1">
      <c r="A372" s="535" t="s">
        <v>1255</v>
      </c>
      <c r="B372" s="536">
        <v>1</v>
      </c>
      <c r="C372" s="537">
        <v>10000</v>
      </c>
      <c r="D372" s="30">
        <v>12</v>
      </c>
      <c r="E372" s="32">
        <f t="shared" ref="E372:E386" si="37">+D372*C372*B372</f>
        <v>120000</v>
      </c>
      <c r="F372" s="529" t="s">
        <v>1203</v>
      </c>
      <c r="G372" s="34"/>
      <c r="H372" s="34"/>
      <c r="I372" s="34"/>
      <c r="J372" s="34"/>
      <c r="K372" s="34"/>
      <c r="L372" s="42"/>
      <c r="M372" s="33"/>
      <c r="N372" s="33"/>
      <c r="O372" s="33"/>
      <c r="P372" s="33">
        <f t="shared" si="36"/>
        <v>120000</v>
      </c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33" customHeight="1">
      <c r="A373" s="535" t="s">
        <v>1270</v>
      </c>
      <c r="B373" s="536">
        <v>1</v>
      </c>
      <c r="C373" s="537">
        <v>7000</v>
      </c>
      <c r="D373" s="30">
        <v>12</v>
      </c>
      <c r="E373" s="32">
        <f t="shared" si="37"/>
        <v>84000</v>
      </c>
      <c r="F373" s="529" t="s">
        <v>1203</v>
      </c>
      <c r="G373" s="34"/>
      <c r="H373" s="34"/>
      <c r="I373" s="34"/>
      <c r="J373" s="34"/>
      <c r="K373" s="34"/>
      <c r="L373" s="42"/>
      <c r="M373" s="33"/>
      <c r="N373" s="33"/>
      <c r="O373" s="33"/>
      <c r="P373" s="33">
        <f t="shared" si="36"/>
        <v>84000</v>
      </c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33" customHeight="1">
      <c r="A374" s="535" t="s">
        <v>1271</v>
      </c>
      <c r="B374" s="536">
        <v>1</v>
      </c>
      <c r="C374" s="537">
        <v>15000</v>
      </c>
      <c r="D374" s="30">
        <v>12</v>
      </c>
      <c r="E374" s="32">
        <f t="shared" si="37"/>
        <v>180000</v>
      </c>
      <c r="F374" s="529" t="s">
        <v>1203</v>
      </c>
      <c r="G374" s="34"/>
      <c r="H374" s="34"/>
      <c r="I374" s="34"/>
      <c r="J374" s="34"/>
      <c r="K374" s="34"/>
      <c r="L374" s="42"/>
      <c r="M374" s="33"/>
      <c r="N374" s="33"/>
      <c r="O374" s="33"/>
      <c r="P374" s="33">
        <f t="shared" si="36"/>
        <v>180000</v>
      </c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33" customHeight="1">
      <c r="A375" s="535" t="s">
        <v>1244</v>
      </c>
      <c r="B375" s="536">
        <v>1</v>
      </c>
      <c r="C375" s="537">
        <v>6000</v>
      </c>
      <c r="D375" s="30">
        <v>12</v>
      </c>
      <c r="E375" s="32">
        <f t="shared" si="37"/>
        <v>72000</v>
      </c>
      <c r="F375" s="529" t="s">
        <v>1203</v>
      </c>
      <c r="G375" s="34"/>
      <c r="H375" s="34"/>
      <c r="I375" s="34"/>
      <c r="J375" s="34"/>
      <c r="K375" s="34"/>
      <c r="L375" s="42"/>
      <c r="M375" s="33"/>
      <c r="N375" s="33"/>
      <c r="O375" s="33"/>
      <c r="P375" s="33">
        <f t="shared" si="36"/>
        <v>72000</v>
      </c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33" customHeight="1">
      <c r="A376" s="535" t="s">
        <v>1224</v>
      </c>
      <c r="B376" s="536">
        <v>1</v>
      </c>
      <c r="C376" s="537">
        <v>6500</v>
      </c>
      <c r="D376" s="30">
        <v>12</v>
      </c>
      <c r="E376" s="32">
        <f t="shared" si="37"/>
        <v>78000</v>
      </c>
      <c r="F376" s="529" t="s">
        <v>1203</v>
      </c>
      <c r="G376" s="34"/>
      <c r="H376" s="34"/>
      <c r="I376" s="34"/>
      <c r="J376" s="34"/>
      <c r="K376" s="34"/>
      <c r="L376" s="42"/>
      <c r="M376" s="33"/>
      <c r="N376" s="33"/>
      <c r="O376" s="33"/>
      <c r="P376" s="33">
        <f t="shared" si="36"/>
        <v>78000</v>
      </c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33" customHeight="1">
      <c r="A377" s="535" t="s">
        <v>1272</v>
      </c>
      <c r="B377" s="536">
        <v>1</v>
      </c>
      <c r="C377" s="537">
        <v>5000</v>
      </c>
      <c r="D377" s="30">
        <v>12</v>
      </c>
      <c r="E377" s="32">
        <f t="shared" si="37"/>
        <v>60000</v>
      </c>
      <c r="F377" s="529" t="s">
        <v>1203</v>
      </c>
      <c r="G377" s="34"/>
      <c r="H377" s="34"/>
      <c r="I377" s="34"/>
      <c r="J377" s="34"/>
      <c r="K377" s="34"/>
      <c r="L377" s="42"/>
      <c r="M377" s="33"/>
      <c r="N377" s="33"/>
      <c r="O377" s="33"/>
      <c r="P377" s="33">
        <f t="shared" si="36"/>
        <v>60000</v>
      </c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33" customHeight="1">
      <c r="A378" s="535" t="s">
        <v>1273</v>
      </c>
      <c r="B378" s="536">
        <v>1</v>
      </c>
      <c r="C378" s="537">
        <v>18000</v>
      </c>
      <c r="D378" s="30">
        <v>12</v>
      </c>
      <c r="E378" s="32">
        <f t="shared" si="37"/>
        <v>216000</v>
      </c>
      <c r="F378" s="529" t="s">
        <v>1203</v>
      </c>
      <c r="G378" s="34"/>
      <c r="H378" s="34"/>
      <c r="I378" s="34"/>
      <c r="J378" s="34"/>
      <c r="K378" s="34"/>
      <c r="L378" s="42"/>
      <c r="M378" s="33"/>
      <c r="N378" s="33"/>
      <c r="O378" s="33"/>
      <c r="P378" s="33">
        <f t="shared" si="36"/>
        <v>216000</v>
      </c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33" customHeight="1">
      <c r="A379" s="535" t="s">
        <v>1224</v>
      </c>
      <c r="B379" s="536">
        <v>1</v>
      </c>
      <c r="C379" s="537">
        <v>9000</v>
      </c>
      <c r="D379" s="30">
        <v>12</v>
      </c>
      <c r="E379" s="32">
        <f t="shared" si="37"/>
        <v>108000</v>
      </c>
      <c r="F379" s="529" t="s">
        <v>1203</v>
      </c>
      <c r="G379" s="34"/>
      <c r="H379" s="34"/>
      <c r="I379" s="34"/>
      <c r="J379" s="34"/>
      <c r="K379" s="34"/>
      <c r="L379" s="42"/>
      <c r="M379" s="33"/>
      <c r="N379" s="33"/>
      <c r="O379" s="33"/>
      <c r="P379" s="33">
        <f t="shared" si="36"/>
        <v>108000</v>
      </c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33" customHeight="1">
      <c r="A380" s="535" t="s">
        <v>1261</v>
      </c>
      <c r="B380" s="536">
        <v>1</v>
      </c>
      <c r="C380" s="537">
        <v>7000</v>
      </c>
      <c r="D380" s="30">
        <v>12</v>
      </c>
      <c r="E380" s="32">
        <f t="shared" si="37"/>
        <v>84000</v>
      </c>
      <c r="F380" s="529" t="s">
        <v>1203</v>
      </c>
      <c r="G380" s="34"/>
      <c r="H380" s="34"/>
      <c r="I380" s="34"/>
      <c r="J380" s="34"/>
      <c r="K380" s="34"/>
      <c r="L380" s="42"/>
      <c r="M380" s="33"/>
      <c r="N380" s="33"/>
      <c r="O380" s="33"/>
      <c r="P380" s="33">
        <f t="shared" si="36"/>
        <v>84000</v>
      </c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33" customHeight="1">
      <c r="A381" s="535" t="s">
        <v>1274</v>
      </c>
      <c r="B381" s="536">
        <v>1</v>
      </c>
      <c r="C381" s="537">
        <v>6500</v>
      </c>
      <c r="D381" s="30">
        <v>12</v>
      </c>
      <c r="E381" s="32">
        <f t="shared" si="37"/>
        <v>78000</v>
      </c>
      <c r="F381" s="529" t="s">
        <v>1203</v>
      </c>
      <c r="G381" s="34"/>
      <c r="H381" s="34"/>
      <c r="I381" s="34"/>
      <c r="J381" s="34"/>
      <c r="K381" s="34"/>
      <c r="L381" s="42"/>
      <c r="M381" s="33"/>
      <c r="N381" s="33"/>
      <c r="O381" s="33"/>
      <c r="P381" s="33">
        <f t="shared" si="36"/>
        <v>78000</v>
      </c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45.75" customHeight="1">
      <c r="A382" s="535" t="s">
        <v>1275</v>
      </c>
      <c r="B382" s="536">
        <v>1</v>
      </c>
      <c r="C382" s="537">
        <v>6000</v>
      </c>
      <c r="D382" s="30">
        <v>12</v>
      </c>
      <c r="E382" s="32">
        <f t="shared" si="37"/>
        <v>72000</v>
      </c>
      <c r="F382" s="529" t="s">
        <v>1203</v>
      </c>
      <c r="G382" s="34"/>
      <c r="H382" s="34"/>
      <c r="I382" s="34"/>
      <c r="J382" s="34"/>
      <c r="K382" s="34"/>
      <c r="L382" s="42"/>
      <c r="M382" s="33"/>
      <c r="N382" s="33"/>
      <c r="O382" s="33"/>
      <c r="P382" s="33">
        <f t="shared" si="36"/>
        <v>72000</v>
      </c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45.75" customHeight="1">
      <c r="A383" s="535" t="s">
        <v>1276</v>
      </c>
      <c r="B383" s="536">
        <v>1</v>
      </c>
      <c r="C383" s="537">
        <v>3500</v>
      </c>
      <c r="D383" s="30">
        <v>12</v>
      </c>
      <c r="E383" s="32">
        <f t="shared" si="37"/>
        <v>42000</v>
      </c>
      <c r="F383" s="529" t="s">
        <v>1203</v>
      </c>
      <c r="G383" s="34"/>
      <c r="H383" s="34"/>
      <c r="I383" s="34"/>
      <c r="J383" s="34"/>
      <c r="K383" s="34"/>
      <c r="L383" s="42"/>
      <c r="M383" s="33"/>
      <c r="N383" s="33"/>
      <c r="O383" s="33"/>
      <c r="P383" s="33">
        <f t="shared" si="36"/>
        <v>42000</v>
      </c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45.75" customHeight="1">
      <c r="A384" s="535" t="s">
        <v>1277</v>
      </c>
      <c r="B384" s="536">
        <v>1</v>
      </c>
      <c r="C384" s="537">
        <v>16000</v>
      </c>
      <c r="D384" s="30">
        <v>12</v>
      </c>
      <c r="E384" s="32">
        <f t="shared" si="37"/>
        <v>192000</v>
      </c>
      <c r="F384" s="529" t="s">
        <v>1203</v>
      </c>
      <c r="G384" s="34"/>
      <c r="H384" s="34"/>
      <c r="I384" s="34"/>
      <c r="J384" s="34"/>
      <c r="K384" s="34"/>
      <c r="L384" s="42"/>
      <c r="M384" s="33"/>
      <c r="N384" s="33"/>
      <c r="O384" s="33"/>
      <c r="P384" s="33">
        <f t="shared" si="36"/>
        <v>192000</v>
      </c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45.75" customHeight="1">
      <c r="A385" s="535" t="s">
        <v>1278</v>
      </c>
      <c r="B385" s="536">
        <v>1</v>
      </c>
      <c r="C385" s="537">
        <v>5000</v>
      </c>
      <c r="D385" s="30">
        <v>12</v>
      </c>
      <c r="E385" s="32">
        <f t="shared" si="37"/>
        <v>60000</v>
      </c>
      <c r="F385" s="529" t="s">
        <v>1203</v>
      </c>
      <c r="G385" s="34"/>
      <c r="H385" s="34"/>
      <c r="I385" s="34"/>
      <c r="J385" s="34"/>
      <c r="K385" s="34"/>
      <c r="L385" s="42"/>
      <c r="M385" s="33"/>
      <c r="N385" s="33"/>
      <c r="O385" s="33"/>
      <c r="P385" s="33">
        <f t="shared" si="36"/>
        <v>60000</v>
      </c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45.75" customHeight="1">
      <c r="A386" s="535" t="s">
        <v>1279</v>
      </c>
      <c r="B386" s="536">
        <v>1</v>
      </c>
      <c r="C386" s="537">
        <v>5500</v>
      </c>
      <c r="D386" s="30">
        <v>12</v>
      </c>
      <c r="E386" s="32">
        <f t="shared" si="37"/>
        <v>66000</v>
      </c>
      <c r="F386" s="529" t="s">
        <v>1203</v>
      </c>
      <c r="G386" s="34"/>
      <c r="H386" s="34"/>
      <c r="I386" s="34"/>
      <c r="J386" s="34"/>
      <c r="K386" s="34"/>
      <c r="L386" s="42"/>
      <c r="M386" s="33"/>
      <c r="N386" s="33"/>
      <c r="O386" s="33"/>
      <c r="P386" s="33">
        <f t="shared" si="36"/>
        <v>66000</v>
      </c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>
      <c r="A387" s="535" t="s">
        <v>1280</v>
      </c>
      <c r="B387" s="536">
        <v>1</v>
      </c>
      <c r="C387" s="537">
        <v>14000</v>
      </c>
      <c r="D387" s="30">
        <v>12</v>
      </c>
      <c r="E387" s="32">
        <f>+D387*C387*B387</f>
        <v>168000</v>
      </c>
      <c r="F387" s="529" t="s">
        <v>1203</v>
      </c>
      <c r="G387" s="34"/>
      <c r="H387" s="34"/>
      <c r="I387" s="34"/>
      <c r="J387" s="34"/>
      <c r="K387" s="34"/>
      <c r="L387" s="42"/>
      <c r="M387" s="33"/>
      <c r="N387" s="33"/>
      <c r="O387" s="33"/>
      <c r="P387" s="33">
        <f t="shared" si="36"/>
        <v>168000</v>
      </c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>
      <c r="A388" s="541" t="s">
        <v>642</v>
      </c>
      <c r="B388" s="542">
        <v>29</v>
      </c>
      <c r="C388" s="543">
        <v>72.540000000000006</v>
      </c>
      <c r="D388" s="544">
        <v>12</v>
      </c>
      <c r="E388" s="32">
        <f>+C388*30*D388</f>
        <v>26114.400000000001</v>
      </c>
      <c r="F388" s="545" t="s">
        <v>1281</v>
      </c>
      <c r="G388" s="34"/>
      <c r="H388" s="34"/>
      <c r="I388" s="34">
        <f t="shared" ref="I388:I451" si="38">250*B388*12</f>
        <v>87000</v>
      </c>
      <c r="J388" s="34"/>
      <c r="K388" s="34">
        <f>1166.66*12*B388</f>
        <v>405997.68000000005</v>
      </c>
      <c r="L388" s="42"/>
      <c r="M388" s="33"/>
      <c r="N388" s="33"/>
      <c r="O388" s="33"/>
      <c r="P388" s="33"/>
      <c r="Q388" s="34">
        <f>30*C388*B388*12</f>
        <v>757317.60000000009</v>
      </c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>
      <c r="A389" s="546" t="s">
        <v>1282</v>
      </c>
      <c r="B389" s="542">
        <v>12</v>
      </c>
      <c r="C389" s="543">
        <v>73.59</v>
      </c>
      <c r="D389" s="544">
        <v>12</v>
      </c>
      <c r="E389" s="32">
        <f t="shared" ref="E389:E452" si="39">+C389*30*D389</f>
        <v>26492.400000000001</v>
      </c>
      <c r="F389" s="545" t="s">
        <v>1281</v>
      </c>
      <c r="G389" s="34"/>
      <c r="H389" s="34"/>
      <c r="I389" s="34">
        <f t="shared" si="38"/>
        <v>36000</v>
      </c>
      <c r="J389" s="34"/>
      <c r="K389" s="34">
        <f t="shared" ref="K389:K452" si="40">1166.66*12*B389</f>
        <v>167999.04000000004</v>
      </c>
      <c r="L389" s="42"/>
      <c r="M389" s="33"/>
      <c r="N389" s="33"/>
      <c r="O389" s="33"/>
      <c r="P389" s="33"/>
      <c r="Q389" s="34">
        <f t="shared" ref="Q389:Q452" si="41">30*C389*B389*12</f>
        <v>317908.80000000005</v>
      </c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>
      <c r="A390" s="541" t="s">
        <v>1283</v>
      </c>
      <c r="B390" s="542">
        <v>2</v>
      </c>
      <c r="C390" s="543">
        <v>74.63</v>
      </c>
      <c r="D390" s="544">
        <v>12</v>
      </c>
      <c r="E390" s="32">
        <f t="shared" si="39"/>
        <v>26866.799999999996</v>
      </c>
      <c r="F390" s="545" t="s">
        <v>1281</v>
      </c>
      <c r="G390" s="34"/>
      <c r="H390" s="34"/>
      <c r="I390" s="34">
        <f t="shared" si="38"/>
        <v>6000</v>
      </c>
      <c r="J390" s="34"/>
      <c r="K390" s="34">
        <f t="shared" si="40"/>
        <v>27999.840000000004</v>
      </c>
      <c r="L390" s="42"/>
      <c r="M390" s="33"/>
      <c r="N390" s="33"/>
      <c r="O390" s="33"/>
      <c r="P390" s="33"/>
      <c r="Q390" s="34">
        <f t="shared" si="41"/>
        <v>53733.599999999991</v>
      </c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>
      <c r="A391" s="541" t="s">
        <v>167</v>
      </c>
      <c r="B391" s="542">
        <v>5</v>
      </c>
      <c r="C391" s="543">
        <v>71.400000000000006</v>
      </c>
      <c r="D391" s="544">
        <v>12</v>
      </c>
      <c r="E391" s="32">
        <f t="shared" si="39"/>
        <v>25704</v>
      </c>
      <c r="F391" s="545" t="s">
        <v>1281</v>
      </c>
      <c r="G391" s="34"/>
      <c r="H391" s="34"/>
      <c r="I391" s="34">
        <f t="shared" si="38"/>
        <v>15000</v>
      </c>
      <c r="J391" s="34"/>
      <c r="K391" s="34">
        <f t="shared" si="40"/>
        <v>69999.600000000006</v>
      </c>
      <c r="L391" s="42"/>
      <c r="M391" s="33"/>
      <c r="N391" s="33"/>
      <c r="O391" s="33"/>
      <c r="P391" s="33"/>
      <c r="Q391" s="34">
        <f t="shared" si="41"/>
        <v>128520</v>
      </c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>
      <c r="A392" s="541" t="s">
        <v>168</v>
      </c>
      <c r="B392" s="542">
        <v>2</v>
      </c>
      <c r="C392" s="543">
        <v>71.400000000000006</v>
      </c>
      <c r="D392" s="544">
        <v>12</v>
      </c>
      <c r="E392" s="32">
        <f t="shared" si="39"/>
        <v>25704</v>
      </c>
      <c r="F392" s="545" t="s">
        <v>1281</v>
      </c>
      <c r="G392" s="34"/>
      <c r="H392" s="34"/>
      <c r="I392" s="34">
        <f t="shared" si="38"/>
        <v>6000</v>
      </c>
      <c r="J392" s="34"/>
      <c r="K392" s="34">
        <f t="shared" si="40"/>
        <v>27999.840000000004</v>
      </c>
      <c r="L392" s="42"/>
      <c r="M392" s="33"/>
      <c r="N392" s="33"/>
      <c r="O392" s="33"/>
      <c r="P392" s="33"/>
      <c r="Q392" s="34">
        <f t="shared" si="41"/>
        <v>51408</v>
      </c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>
      <c r="A393" s="541" t="s">
        <v>169</v>
      </c>
      <c r="B393" s="542">
        <v>2</v>
      </c>
      <c r="C393" s="543">
        <v>71.400000000000006</v>
      </c>
      <c r="D393" s="544">
        <v>12</v>
      </c>
      <c r="E393" s="32">
        <f t="shared" si="39"/>
        <v>25704</v>
      </c>
      <c r="F393" s="545" t="s">
        <v>1281</v>
      </c>
      <c r="G393" s="34"/>
      <c r="H393" s="34"/>
      <c r="I393" s="34">
        <f t="shared" si="38"/>
        <v>6000</v>
      </c>
      <c r="J393" s="34"/>
      <c r="K393" s="34">
        <f t="shared" si="40"/>
        <v>27999.840000000004</v>
      </c>
      <c r="L393" s="42"/>
      <c r="M393" s="33"/>
      <c r="N393" s="33"/>
      <c r="O393" s="33"/>
      <c r="P393" s="33"/>
      <c r="Q393" s="34">
        <f t="shared" si="41"/>
        <v>51408</v>
      </c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>
      <c r="A394" s="541" t="s">
        <v>1284</v>
      </c>
      <c r="B394" s="542">
        <v>1</v>
      </c>
      <c r="C394" s="543">
        <v>71.400000000000006</v>
      </c>
      <c r="D394" s="544">
        <v>12</v>
      </c>
      <c r="E394" s="32">
        <f t="shared" si="39"/>
        <v>25704</v>
      </c>
      <c r="F394" s="545" t="s">
        <v>1281</v>
      </c>
      <c r="G394" s="34"/>
      <c r="H394" s="34"/>
      <c r="I394" s="34">
        <f t="shared" si="38"/>
        <v>3000</v>
      </c>
      <c r="J394" s="34"/>
      <c r="K394" s="34">
        <f t="shared" si="40"/>
        <v>13999.920000000002</v>
      </c>
      <c r="L394" s="42"/>
      <c r="M394" s="33"/>
      <c r="N394" s="33"/>
      <c r="O394" s="33"/>
      <c r="P394" s="33"/>
      <c r="Q394" s="34">
        <f t="shared" si="41"/>
        <v>25704</v>
      </c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>
      <c r="A395" s="541" t="s">
        <v>170</v>
      </c>
      <c r="B395" s="542">
        <v>7</v>
      </c>
      <c r="C395" s="543">
        <v>71.400000000000006</v>
      </c>
      <c r="D395" s="544">
        <v>12</v>
      </c>
      <c r="E395" s="32">
        <f t="shared" si="39"/>
        <v>25704</v>
      </c>
      <c r="F395" s="545" t="s">
        <v>1281</v>
      </c>
      <c r="G395" s="34"/>
      <c r="H395" s="34"/>
      <c r="I395" s="34">
        <f t="shared" si="38"/>
        <v>21000</v>
      </c>
      <c r="J395" s="34"/>
      <c r="K395" s="34">
        <f t="shared" si="40"/>
        <v>97999.440000000017</v>
      </c>
      <c r="L395" s="42"/>
      <c r="M395" s="33"/>
      <c r="N395" s="33"/>
      <c r="O395" s="33"/>
      <c r="P395" s="33"/>
      <c r="Q395" s="34">
        <f t="shared" si="41"/>
        <v>179928</v>
      </c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>
      <c r="A396" s="541" t="s">
        <v>1285</v>
      </c>
      <c r="B396" s="542">
        <v>6</v>
      </c>
      <c r="C396" s="543">
        <v>71.400000000000006</v>
      </c>
      <c r="D396" s="544">
        <v>12</v>
      </c>
      <c r="E396" s="32">
        <f t="shared" si="39"/>
        <v>25704</v>
      </c>
      <c r="F396" s="545" t="s">
        <v>1281</v>
      </c>
      <c r="G396" s="34"/>
      <c r="H396" s="34"/>
      <c r="I396" s="34">
        <f t="shared" si="38"/>
        <v>18000</v>
      </c>
      <c r="J396" s="34"/>
      <c r="K396" s="34">
        <f t="shared" si="40"/>
        <v>83999.520000000019</v>
      </c>
      <c r="L396" s="42"/>
      <c r="M396" s="33"/>
      <c r="N396" s="33"/>
      <c r="O396" s="33"/>
      <c r="P396" s="33"/>
      <c r="Q396" s="34">
        <f t="shared" si="41"/>
        <v>154224</v>
      </c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>
      <c r="A397" s="541" t="s">
        <v>1286</v>
      </c>
      <c r="B397" s="542">
        <v>12</v>
      </c>
      <c r="C397" s="543">
        <v>72.540000000000006</v>
      </c>
      <c r="D397" s="544">
        <v>12</v>
      </c>
      <c r="E397" s="32">
        <f t="shared" si="39"/>
        <v>26114.400000000001</v>
      </c>
      <c r="F397" s="545" t="s">
        <v>1281</v>
      </c>
      <c r="G397" s="34"/>
      <c r="H397" s="34"/>
      <c r="I397" s="34">
        <f t="shared" si="38"/>
        <v>36000</v>
      </c>
      <c r="J397" s="34"/>
      <c r="K397" s="34">
        <f t="shared" si="40"/>
        <v>167999.04000000004</v>
      </c>
      <c r="L397" s="42"/>
      <c r="M397" s="33"/>
      <c r="N397" s="33"/>
      <c r="O397" s="33"/>
      <c r="P397" s="33"/>
      <c r="Q397" s="34">
        <f t="shared" si="41"/>
        <v>313372.80000000005</v>
      </c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>
      <c r="A398" s="547" t="s">
        <v>171</v>
      </c>
      <c r="B398" s="548">
        <v>3</v>
      </c>
      <c r="C398" s="549">
        <v>73.59</v>
      </c>
      <c r="D398" s="544">
        <v>12</v>
      </c>
      <c r="E398" s="32">
        <f t="shared" si="39"/>
        <v>26492.400000000001</v>
      </c>
      <c r="F398" s="545" t="s">
        <v>1281</v>
      </c>
      <c r="G398" s="34"/>
      <c r="H398" s="34"/>
      <c r="I398" s="34">
        <f t="shared" si="38"/>
        <v>9000</v>
      </c>
      <c r="J398" s="34"/>
      <c r="K398" s="34">
        <f t="shared" si="40"/>
        <v>41999.760000000009</v>
      </c>
      <c r="L398" s="42"/>
      <c r="M398" s="33"/>
      <c r="N398" s="33"/>
      <c r="O398" s="33"/>
      <c r="P398" s="33"/>
      <c r="Q398" s="34">
        <f t="shared" si="41"/>
        <v>79477.200000000012</v>
      </c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>
      <c r="A399" s="541" t="s">
        <v>1287</v>
      </c>
      <c r="B399" s="542">
        <v>5</v>
      </c>
      <c r="C399" s="543">
        <v>74.63</v>
      </c>
      <c r="D399" s="544">
        <v>12</v>
      </c>
      <c r="E399" s="32">
        <f t="shared" si="39"/>
        <v>26866.799999999996</v>
      </c>
      <c r="F399" s="545" t="s">
        <v>1281</v>
      </c>
      <c r="G399" s="34"/>
      <c r="H399" s="34"/>
      <c r="I399" s="34">
        <f t="shared" si="38"/>
        <v>15000</v>
      </c>
      <c r="J399" s="34"/>
      <c r="K399" s="34">
        <f t="shared" si="40"/>
        <v>69999.600000000006</v>
      </c>
      <c r="L399" s="42"/>
      <c r="M399" s="33"/>
      <c r="N399" s="33"/>
      <c r="O399" s="33"/>
      <c r="P399" s="33"/>
      <c r="Q399" s="34">
        <f t="shared" si="41"/>
        <v>134333.99999999997</v>
      </c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>
      <c r="A400" s="541" t="s">
        <v>1288</v>
      </c>
      <c r="B400" s="542">
        <v>1</v>
      </c>
      <c r="C400" s="543">
        <v>75.64</v>
      </c>
      <c r="D400" s="544">
        <v>12</v>
      </c>
      <c r="E400" s="32">
        <f t="shared" si="39"/>
        <v>27230.399999999998</v>
      </c>
      <c r="F400" s="545" t="s">
        <v>1281</v>
      </c>
      <c r="G400" s="34"/>
      <c r="H400" s="34"/>
      <c r="I400" s="34">
        <f t="shared" si="38"/>
        <v>3000</v>
      </c>
      <c r="J400" s="34"/>
      <c r="K400" s="34">
        <f t="shared" si="40"/>
        <v>13999.920000000002</v>
      </c>
      <c r="L400" s="42"/>
      <c r="M400" s="33"/>
      <c r="N400" s="33"/>
      <c r="O400" s="33"/>
      <c r="P400" s="33"/>
      <c r="Q400" s="34">
        <f t="shared" si="41"/>
        <v>27230.399999999998</v>
      </c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>
      <c r="A401" s="541" t="s">
        <v>1289</v>
      </c>
      <c r="B401" s="542">
        <v>3</v>
      </c>
      <c r="C401" s="543">
        <v>76.59</v>
      </c>
      <c r="D401" s="544">
        <v>12</v>
      </c>
      <c r="E401" s="32">
        <f t="shared" si="39"/>
        <v>27572.400000000001</v>
      </c>
      <c r="F401" s="545" t="s">
        <v>1281</v>
      </c>
      <c r="G401" s="34"/>
      <c r="H401" s="34"/>
      <c r="I401" s="34">
        <f t="shared" si="38"/>
        <v>9000</v>
      </c>
      <c r="J401" s="34"/>
      <c r="K401" s="34">
        <f t="shared" si="40"/>
        <v>41999.760000000009</v>
      </c>
      <c r="L401" s="42"/>
      <c r="M401" s="33"/>
      <c r="N401" s="33"/>
      <c r="O401" s="33"/>
      <c r="P401" s="33"/>
      <c r="Q401" s="34">
        <f t="shared" si="41"/>
        <v>82717.200000000012</v>
      </c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>
      <c r="A402" s="541" t="s">
        <v>1290</v>
      </c>
      <c r="B402" s="542">
        <v>4</v>
      </c>
      <c r="C402" s="543">
        <v>74.63</v>
      </c>
      <c r="D402" s="544">
        <v>12</v>
      </c>
      <c r="E402" s="32">
        <f t="shared" si="39"/>
        <v>26866.799999999996</v>
      </c>
      <c r="F402" s="545" t="s">
        <v>1281</v>
      </c>
      <c r="G402" s="34"/>
      <c r="H402" s="34"/>
      <c r="I402" s="34">
        <f t="shared" si="38"/>
        <v>12000</v>
      </c>
      <c r="J402" s="34"/>
      <c r="K402" s="34">
        <f t="shared" si="40"/>
        <v>55999.680000000008</v>
      </c>
      <c r="L402" s="42"/>
      <c r="M402" s="33"/>
      <c r="N402" s="33"/>
      <c r="O402" s="33"/>
      <c r="P402" s="33"/>
      <c r="Q402" s="34">
        <f t="shared" si="41"/>
        <v>107467.19999999998</v>
      </c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>
      <c r="A403" s="541" t="s">
        <v>1291</v>
      </c>
      <c r="B403" s="542">
        <v>6</v>
      </c>
      <c r="C403" s="543">
        <v>72.540000000000006</v>
      </c>
      <c r="D403" s="544">
        <v>12</v>
      </c>
      <c r="E403" s="32">
        <f t="shared" si="39"/>
        <v>26114.400000000001</v>
      </c>
      <c r="F403" s="545" t="s">
        <v>1281</v>
      </c>
      <c r="G403" s="34"/>
      <c r="H403" s="34"/>
      <c r="I403" s="34">
        <f t="shared" si="38"/>
        <v>18000</v>
      </c>
      <c r="J403" s="34"/>
      <c r="K403" s="34">
        <f t="shared" si="40"/>
        <v>83999.520000000019</v>
      </c>
      <c r="L403" s="42"/>
      <c r="M403" s="33"/>
      <c r="N403" s="33"/>
      <c r="O403" s="33"/>
      <c r="P403" s="33"/>
      <c r="Q403" s="34">
        <f t="shared" si="41"/>
        <v>156686.40000000002</v>
      </c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>
      <c r="A404" s="541" t="s">
        <v>1292</v>
      </c>
      <c r="B404" s="542">
        <v>3</v>
      </c>
      <c r="C404" s="543">
        <v>73.59</v>
      </c>
      <c r="D404" s="544">
        <v>12</v>
      </c>
      <c r="E404" s="32">
        <f t="shared" si="39"/>
        <v>26492.400000000001</v>
      </c>
      <c r="F404" s="545" t="s">
        <v>1281</v>
      </c>
      <c r="G404" s="34"/>
      <c r="H404" s="34"/>
      <c r="I404" s="34">
        <f t="shared" si="38"/>
        <v>9000</v>
      </c>
      <c r="J404" s="34"/>
      <c r="K404" s="34">
        <f t="shared" si="40"/>
        <v>41999.760000000009</v>
      </c>
      <c r="L404" s="42"/>
      <c r="M404" s="33"/>
      <c r="N404" s="33"/>
      <c r="O404" s="33"/>
      <c r="P404" s="33"/>
      <c r="Q404" s="34">
        <f t="shared" si="41"/>
        <v>79477.200000000012</v>
      </c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>
      <c r="A405" s="541" t="s">
        <v>1293</v>
      </c>
      <c r="B405" s="542">
        <v>1</v>
      </c>
      <c r="C405" s="543">
        <v>74.63</v>
      </c>
      <c r="D405" s="544">
        <v>12</v>
      </c>
      <c r="E405" s="32">
        <f t="shared" si="39"/>
        <v>26866.799999999996</v>
      </c>
      <c r="F405" s="545" t="s">
        <v>1281</v>
      </c>
      <c r="G405" s="34"/>
      <c r="H405" s="34"/>
      <c r="I405" s="34">
        <f t="shared" si="38"/>
        <v>3000</v>
      </c>
      <c r="J405" s="34"/>
      <c r="K405" s="34">
        <f t="shared" si="40"/>
        <v>13999.920000000002</v>
      </c>
      <c r="L405" s="42"/>
      <c r="M405" s="33"/>
      <c r="N405" s="33"/>
      <c r="O405" s="33"/>
      <c r="P405" s="33"/>
      <c r="Q405" s="34">
        <f t="shared" si="41"/>
        <v>26866.799999999996</v>
      </c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>
      <c r="A406" s="541" t="s">
        <v>1294</v>
      </c>
      <c r="B406" s="542">
        <v>1</v>
      </c>
      <c r="C406" s="543">
        <v>75.64</v>
      </c>
      <c r="D406" s="544">
        <v>12</v>
      </c>
      <c r="E406" s="32">
        <f t="shared" si="39"/>
        <v>27230.399999999998</v>
      </c>
      <c r="F406" s="545" t="s">
        <v>1281</v>
      </c>
      <c r="G406" s="34"/>
      <c r="H406" s="34"/>
      <c r="I406" s="34">
        <f t="shared" si="38"/>
        <v>3000</v>
      </c>
      <c r="J406" s="34"/>
      <c r="K406" s="34">
        <f t="shared" si="40"/>
        <v>13999.920000000002</v>
      </c>
      <c r="L406" s="42"/>
      <c r="M406" s="33"/>
      <c r="N406" s="33"/>
      <c r="O406" s="33"/>
      <c r="P406" s="33"/>
      <c r="Q406" s="34">
        <f t="shared" si="41"/>
        <v>27230.399999999998</v>
      </c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>
      <c r="A407" s="541" t="s">
        <v>1295</v>
      </c>
      <c r="B407" s="542">
        <v>59</v>
      </c>
      <c r="C407" s="543">
        <v>73.59</v>
      </c>
      <c r="D407" s="544">
        <v>12</v>
      </c>
      <c r="E407" s="32">
        <f t="shared" si="39"/>
        <v>26492.400000000001</v>
      </c>
      <c r="F407" s="545" t="s">
        <v>1281</v>
      </c>
      <c r="G407" s="34"/>
      <c r="H407" s="34"/>
      <c r="I407" s="34">
        <f t="shared" si="38"/>
        <v>177000</v>
      </c>
      <c r="J407" s="34"/>
      <c r="K407" s="34">
        <f t="shared" si="40"/>
        <v>825995.28000000014</v>
      </c>
      <c r="L407" s="42"/>
      <c r="M407" s="33"/>
      <c r="N407" s="33"/>
      <c r="O407" s="33"/>
      <c r="P407" s="33"/>
      <c r="Q407" s="34">
        <f t="shared" si="41"/>
        <v>1563051.6</v>
      </c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>
      <c r="A408" s="546" t="s">
        <v>1296</v>
      </c>
      <c r="B408" s="542">
        <v>8</v>
      </c>
      <c r="C408" s="543">
        <v>72.540000000000006</v>
      </c>
      <c r="D408" s="544">
        <v>12</v>
      </c>
      <c r="E408" s="32">
        <f t="shared" si="39"/>
        <v>26114.400000000001</v>
      </c>
      <c r="F408" s="545" t="s">
        <v>1281</v>
      </c>
      <c r="G408" s="34"/>
      <c r="H408" s="34"/>
      <c r="I408" s="34">
        <f t="shared" si="38"/>
        <v>24000</v>
      </c>
      <c r="J408" s="34"/>
      <c r="K408" s="34">
        <f t="shared" si="40"/>
        <v>111999.36000000002</v>
      </c>
      <c r="L408" s="42"/>
      <c r="M408" s="33"/>
      <c r="N408" s="33"/>
      <c r="O408" s="33"/>
      <c r="P408" s="33"/>
      <c r="Q408" s="34">
        <f t="shared" si="41"/>
        <v>208915.20000000001</v>
      </c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>
      <c r="A409" s="541" t="s">
        <v>172</v>
      </c>
      <c r="B409" s="542">
        <v>21</v>
      </c>
      <c r="C409" s="543">
        <v>71.400000000000006</v>
      </c>
      <c r="D409" s="544">
        <v>12</v>
      </c>
      <c r="E409" s="32">
        <f t="shared" si="39"/>
        <v>25704</v>
      </c>
      <c r="F409" s="545" t="s">
        <v>1281</v>
      </c>
      <c r="G409" s="34"/>
      <c r="H409" s="34"/>
      <c r="I409" s="34">
        <f t="shared" si="38"/>
        <v>63000</v>
      </c>
      <c r="J409" s="34"/>
      <c r="K409" s="34">
        <f t="shared" si="40"/>
        <v>293998.32000000007</v>
      </c>
      <c r="L409" s="42"/>
      <c r="M409" s="33"/>
      <c r="N409" s="33"/>
      <c r="O409" s="33"/>
      <c r="P409" s="33"/>
      <c r="Q409" s="34">
        <f t="shared" si="41"/>
        <v>539784</v>
      </c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>
      <c r="A410" s="541" t="s">
        <v>1297</v>
      </c>
      <c r="B410" s="542">
        <v>240</v>
      </c>
      <c r="C410" s="543">
        <v>80.86</v>
      </c>
      <c r="D410" s="544">
        <v>12</v>
      </c>
      <c r="E410" s="32">
        <f t="shared" si="39"/>
        <v>29109.600000000002</v>
      </c>
      <c r="F410" s="545" t="s">
        <v>1281</v>
      </c>
      <c r="G410" s="34"/>
      <c r="H410" s="34"/>
      <c r="I410" s="34">
        <f t="shared" si="38"/>
        <v>720000</v>
      </c>
      <c r="J410" s="34"/>
      <c r="K410" s="34">
        <f t="shared" si="40"/>
        <v>3359980.8000000003</v>
      </c>
      <c r="L410" s="42"/>
      <c r="M410" s="33"/>
      <c r="N410" s="33"/>
      <c r="O410" s="33"/>
      <c r="P410" s="33"/>
      <c r="Q410" s="34">
        <f t="shared" si="41"/>
        <v>6986304</v>
      </c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>
      <c r="A411" s="541" t="s">
        <v>1298</v>
      </c>
      <c r="B411" s="542">
        <v>1</v>
      </c>
      <c r="C411" s="543">
        <v>72.540000000000006</v>
      </c>
      <c r="D411" s="544">
        <v>12</v>
      </c>
      <c r="E411" s="32">
        <f t="shared" si="39"/>
        <v>26114.400000000001</v>
      </c>
      <c r="F411" s="545" t="s">
        <v>1281</v>
      </c>
      <c r="G411" s="34"/>
      <c r="H411" s="34"/>
      <c r="I411" s="34">
        <f t="shared" si="38"/>
        <v>3000</v>
      </c>
      <c r="J411" s="34"/>
      <c r="K411" s="34">
        <f t="shared" si="40"/>
        <v>13999.920000000002</v>
      </c>
      <c r="L411" s="42"/>
      <c r="M411" s="33"/>
      <c r="N411" s="33"/>
      <c r="O411" s="33"/>
      <c r="P411" s="33"/>
      <c r="Q411" s="34">
        <f t="shared" si="41"/>
        <v>26114.400000000001</v>
      </c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>
      <c r="A412" s="541" t="s">
        <v>1299</v>
      </c>
      <c r="B412" s="542">
        <v>5</v>
      </c>
      <c r="C412" s="543">
        <v>72.540000000000006</v>
      </c>
      <c r="D412" s="544">
        <v>12</v>
      </c>
      <c r="E412" s="32">
        <f t="shared" si="39"/>
        <v>26114.400000000001</v>
      </c>
      <c r="F412" s="545" t="s">
        <v>1281</v>
      </c>
      <c r="G412" s="34"/>
      <c r="H412" s="34"/>
      <c r="I412" s="34">
        <f t="shared" si="38"/>
        <v>15000</v>
      </c>
      <c r="J412" s="34"/>
      <c r="K412" s="34">
        <f t="shared" si="40"/>
        <v>69999.600000000006</v>
      </c>
      <c r="L412" s="42"/>
      <c r="M412" s="33"/>
      <c r="N412" s="33"/>
      <c r="O412" s="33"/>
      <c r="P412" s="33"/>
      <c r="Q412" s="34">
        <f t="shared" si="41"/>
        <v>130572.00000000003</v>
      </c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>
      <c r="A413" s="541" t="s">
        <v>1300</v>
      </c>
      <c r="B413" s="542">
        <v>1</v>
      </c>
      <c r="C413" s="543">
        <v>73.59</v>
      </c>
      <c r="D413" s="544">
        <v>12</v>
      </c>
      <c r="E413" s="32">
        <f t="shared" si="39"/>
        <v>26492.400000000001</v>
      </c>
      <c r="F413" s="545" t="s">
        <v>1281</v>
      </c>
      <c r="G413" s="34"/>
      <c r="H413" s="34"/>
      <c r="I413" s="34">
        <f t="shared" si="38"/>
        <v>3000</v>
      </c>
      <c r="J413" s="34"/>
      <c r="K413" s="34">
        <f t="shared" si="40"/>
        <v>13999.920000000002</v>
      </c>
      <c r="L413" s="42"/>
      <c r="M413" s="33"/>
      <c r="N413" s="33"/>
      <c r="O413" s="33"/>
      <c r="P413" s="33"/>
      <c r="Q413" s="34">
        <f t="shared" si="41"/>
        <v>26492.400000000001</v>
      </c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>
      <c r="A414" s="541" t="s">
        <v>1301</v>
      </c>
      <c r="B414" s="542">
        <v>3</v>
      </c>
      <c r="C414" s="543">
        <v>75.64</v>
      </c>
      <c r="D414" s="544">
        <v>12</v>
      </c>
      <c r="E414" s="32">
        <f t="shared" si="39"/>
        <v>27230.399999999998</v>
      </c>
      <c r="F414" s="545" t="s">
        <v>1281</v>
      </c>
      <c r="G414" s="34"/>
      <c r="H414" s="34"/>
      <c r="I414" s="34">
        <f t="shared" si="38"/>
        <v>9000</v>
      </c>
      <c r="J414" s="34"/>
      <c r="K414" s="34">
        <f t="shared" si="40"/>
        <v>41999.760000000009</v>
      </c>
      <c r="L414" s="42"/>
      <c r="M414" s="33"/>
      <c r="N414" s="33"/>
      <c r="O414" s="33"/>
      <c r="P414" s="33"/>
      <c r="Q414" s="34">
        <f t="shared" si="41"/>
        <v>81691.199999999997</v>
      </c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>
      <c r="A415" s="541" t="s">
        <v>1302</v>
      </c>
      <c r="B415" s="542">
        <v>77</v>
      </c>
      <c r="C415" s="543">
        <v>74.63</v>
      </c>
      <c r="D415" s="544">
        <v>12</v>
      </c>
      <c r="E415" s="32">
        <f t="shared" si="39"/>
        <v>26866.799999999996</v>
      </c>
      <c r="F415" s="545" t="s">
        <v>1281</v>
      </c>
      <c r="G415" s="34"/>
      <c r="H415" s="34"/>
      <c r="I415" s="34">
        <f t="shared" si="38"/>
        <v>231000</v>
      </c>
      <c r="J415" s="34"/>
      <c r="K415" s="34">
        <f t="shared" si="40"/>
        <v>1077993.8400000001</v>
      </c>
      <c r="L415" s="42"/>
      <c r="M415" s="33"/>
      <c r="N415" s="33"/>
      <c r="O415" s="33"/>
      <c r="P415" s="33"/>
      <c r="Q415" s="34">
        <f t="shared" si="41"/>
        <v>2068743.5999999996</v>
      </c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>
      <c r="A416" s="541" t="s">
        <v>1303</v>
      </c>
      <c r="B416" s="542">
        <v>8</v>
      </c>
      <c r="C416" s="543">
        <v>75.64</v>
      </c>
      <c r="D416" s="544">
        <v>12</v>
      </c>
      <c r="E416" s="32">
        <f t="shared" si="39"/>
        <v>27230.399999999998</v>
      </c>
      <c r="F416" s="545" t="s">
        <v>1281</v>
      </c>
      <c r="G416" s="34"/>
      <c r="H416" s="34"/>
      <c r="I416" s="34">
        <f t="shared" si="38"/>
        <v>24000</v>
      </c>
      <c r="J416" s="34"/>
      <c r="K416" s="34">
        <f t="shared" si="40"/>
        <v>111999.36000000002</v>
      </c>
      <c r="L416" s="42"/>
      <c r="M416" s="33"/>
      <c r="N416" s="33"/>
      <c r="O416" s="33"/>
      <c r="P416" s="33"/>
      <c r="Q416" s="34">
        <f t="shared" si="41"/>
        <v>217843.19999999998</v>
      </c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>
      <c r="A417" s="541" t="s">
        <v>1304</v>
      </c>
      <c r="B417" s="542">
        <v>2</v>
      </c>
      <c r="C417" s="543">
        <v>77.59</v>
      </c>
      <c r="D417" s="544">
        <v>12</v>
      </c>
      <c r="E417" s="32">
        <f t="shared" si="39"/>
        <v>27932.400000000001</v>
      </c>
      <c r="F417" s="545" t="s">
        <v>1281</v>
      </c>
      <c r="G417" s="34"/>
      <c r="H417" s="34"/>
      <c r="I417" s="34">
        <f t="shared" si="38"/>
        <v>6000</v>
      </c>
      <c r="J417" s="34"/>
      <c r="K417" s="34">
        <f t="shared" si="40"/>
        <v>27999.840000000004</v>
      </c>
      <c r="L417" s="42"/>
      <c r="M417" s="33"/>
      <c r="N417" s="33"/>
      <c r="O417" s="33"/>
      <c r="P417" s="33"/>
      <c r="Q417" s="34">
        <f t="shared" si="41"/>
        <v>55864.800000000003</v>
      </c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>
      <c r="A418" s="541" t="s">
        <v>1305</v>
      </c>
      <c r="B418" s="542">
        <v>1</v>
      </c>
      <c r="C418" s="543">
        <v>75.64</v>
      </c>
      <c r="D418" s="544">
        <v>12</v>
      </c>
      <c r="E418" s="32">
        <f t="shared" si="39"/>
        <v>27230.399999999998</v>
      </c>
      <c r="F418" s="545" t="s">
        <v>1281</v>
      </c>
      <c r="G418" s="34"/>
      <c r="H418" s="34"/>
      <c r="I418" s="34">
        <f t="shared" si="38"/>
        <v>3000</v>
      </c>
      <c r="J418" s="34"/>
      <c r="K418" s="34">
        <f t="shared" si="40"/>
        <v>13999.920000000002</v>
      </c>
      <c r="L418" s="42"/>
      <c r="M418" s="33"/>
      <c r="N418" s="33"/>
      <c r="O418" s="33"/>
      <c r="P418" s="33"/>
      <c r="Q418" s="34">
        <f t="shared" si="41"/>
        <v>27230.399999999998</v>
      </c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>
      <c r="A419" s="541" t="s">
        <v>1306</v>
      </c>
      <c r="B419" s="542">
        <v>2</v>
      </c>
      <c r="C419" s="543">
        <v>75.64</v>
      </c>
      <c r="D419" s="544">
        <v>12</v>
      </c>
      <c r="E419" s="32">
        <f t="shared" si="39"/>
        <v>27230.399999999998</v>
      </c>
      <c r="F419" s="545" t="s">
        <v>1281</v>
      </c>
      <c r="G419" s="34"/>
      <c r="H419" s="34"/>
      <c r="I419" s="34">
        <f t="shared" si="38"/>
        <v>6000</v>
      </c>
      <c r="J419" s="34"/>
      <c r="K419" s="34">
        <f t="shared" si="40"/>
        <v>27999.840000000004</v>
      </c>
      <c r="L419" s="42"/>
      <c r="M419" s="33"/>
      <c r="N419" s="33"/>
      <c r="O419" s="33"/>
      <c r="P419" s="33"/>
      <c r="Q419" s="34">
        <f t="shared" si="41"/>
        <v>54460.799999999996</v>
      </c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>
      <c r="A420" s="541" t="s">
        <v>1307</v>
      </c>
      <c r="B420" s="542">
        <v>51</v>
      </c>
      <c r="C420" s="543">
        <v>78.25</v>
      </c>
      <c r="D420" s="544">
        <v>12</v>
      </c>
      <c r="E420" s="32">
        <f t="shared" si="39"/>
        <v>28170</v>
      </c>
      <c r="F420" s="545" t="s">
        <v>1281</v>
      </c>
      <c r="G420" s="34"/>
      <c r="H420" s="34"/>
      <c r="I420" s="34">
        <f t="shared" si="38"/>
        <v>153000</v>
      </c>
      <c r="J420" s="34"/>
      <c r="K420" s="34">
        <f t="shared" si="40"/>
        <v>713995.92</v>
      </c>
      <c r="L420" s="42"/>
      <c r="M420" s="33"/>
      <c r="N420" s="33"/>
      <c r="O420" s="33"/>
      <c r="P420" s="33"/>
      <c r="Q420" s="34">
        <f t="shared" si="41"/>
        <v>1436670</v>
      </c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>
      <c r="A421" s="541" t="s">
        <v>1308</v>
      </c>
      <c r="B421" s="542">
        <v>17</v>
      </c>
      <c r="C421" s="543">
        <v>75.64</v>
      </c>
      <c r="D421" s="544">
        <v>12</v>
      </c>
      <c r="E421" s="32">
        <f t="shared" si="39"/>
        <v>27230.399999999998</v>
      </c>
      <c r="F421" s="545" t="s">
        <v>1281</v>
      </c>
      <c r="G421" s="34"/>
      <c r="H421" s="34"/>
      <c r="I421" s="34">
        <f t="shared" si="38"/>
        <v>51000</v>
      </c>
      <c r="J421" s="34"/>
      <c r="K421" s="34">
        <f t="shared" si="40"/>
        <v>237998.64000000004</v>
      </c>
      <c r="L421" s="42"/>
      <c r="M421" s="33"/>
      <c r="N421" s="33"/>
      <c r="O421" s="33"/>
      <c r="P421" s="33"/>
      <c r="Q421" s="34">
        <f t="shared" si="41"/>
        <v>462916.79999999993</v>
      </c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>
      <c r="A422" s="546" t="s">
        <v>1309</v>
      </c>
      <c r="B422" s="542">
        <v>5</v>
      </c>
      <c r="C422" s="543">
        <v>72.540000000000006</v>
      </c>
      <c r="D422" s="544">
        <v>12</v>
      </c>
      <c r="E422" s="32">
        <f t="shared" si="39"/>
        <v>26114.400000000001</v>
      </c>
      <c r="F422" s="545" t="s">
        <v>1281</v>
      </c>
      <c r="G422" s="34"/>
      <c r="H422" s="34"/>
      <c r="I422" s="34">
        <f t="shared" si="38"/>
        <v>15000</v>
      </c>
      <c r="J422" s="34"/>
      <c r="K422" s="34">
        <f t="shared" si="40"/>
        <v>69999.600000000006</v>
      </c>
      <c r="L422" s="42"/>
      <c r="M422" s="33"/>
      <c r="N422" s="33"/>
      <c r="O422" s="33"/>
      <c r="P422" s="33"/>
      <c r="Q422" s="34">
        <f t="shared" si="41"/>
        <v>130572.00000000003</v>
      </c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>
      <c r="A423" s="541" t="s">
        <v>1310</v>
      </c>
      <c r="B423" s="542">
        <v>3</v>
      </c>
      <c r="C423" s="543">
        <v>73.59</v>
      </c>
      <c r="D423" s="544">
        <v>12</v>
      </c>
      <c r="E423" s="32">
        <f t="shared" si="39"/>
        <v>26492.400000000001</v>
      </c>
      <c r="F423" s="545" t="s">
        <v>1281</v>
      </c>
      <c r="G423" s="34"/>
      <c r="H423" s="34"/>
      <c r="I423" s="34">
        <f t="shared" si="38"/>
        <v>9000</v>
      </c>
      <c r="J423" s="34"/>
      <c r="K423" s="34">
        <f t="shared" si="40"/>
        <v>41999.760000000009</v>
      </c>
      <c r="L423" s="42"/>
      <c r="M423" s="33"/>
      <c r="N423" s="33"/>
      <c r="O423" s="33"/>
      <c r="P423" s="33"/>
      <c r="Q423" s="34">
        <f t="shared" si="41"/>
        <v>79477.200000000012</v>
      </c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>
      <c r="A424" s="541" t="s">
        <v>1311</v>
      </c>
      <c r="B424" s="542">
        <v>1</v>
      </c>
      <c r="C424" s="543">
        <v>74.63</v>
      </c>
      <c r="D424" s="544">
        <v>12</v>
      </c>
      <c r="E424" s="32">
        <f t="shared" si="39"/>
        <v>26866.799999999996</v>
      </c>
      <c r="F424" s="545" t="s">
        <v>1281</v>
      </c>
      <c r="G424" s="34"/>
      <c r="H424" s="34"/>
      <c r="I424" s="34">
        <f t="shared" si="38"/>
        <v>3000</v>
      </c>
      <c r="J424" s="34"/>
      <c r="K424" s="34">
        <f t="shared" si="40"/>
        <v>13999.920000000002</v>
      </c>
      <c r="L424" s="42"/>
      <c r="M424" s="33"/>
      <c r="N424" s="33"/>
      <c r="O424" s="33"/>
      <c r="P424" s="33"/>
      <c r="Q424" s="34">
        <f t="shared" si="41"/>
        <v>26866.799999999996</v>
      </c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>
      <c r="A425" s="541" t="s">
        <v>1312</v>
      </c>
      <c r="B425" s="542">
        <v>23</v>
      </c>
      <c r="C425" s="543">
        <v>78.25</v>
      </c>
      <c r="D425" s="544">
        <v>12</v>
      </c>
      <c r="E425" s="32">
        <f t="shared" si="39"/>
        <v>28170</v>
      </c>
      <c r="F425" s="545" t="s">
        <v>1281</v>
      </c>
      <c r="G425" s="34"/>
      <c r="H425" s="34"/>
      <c r="I425" s="34">
        <f t="shared" si="38"/>
        <v>69000</v>
      </c>
      <c r="J425" s="34"/>
      <c r="K425" s="34">
        <f t="shared" si="40"/>
        <v>321998.16000000003</v>
      </c>
      <c r="L425" s="42"/>
      <c r="M425" s="33"/>
      <c r="N425" s="33"/>
      <c r="O425" s="33"/>
      <c r="P425" s="33"/>
      <c r="Q425" s="34">
        <f t="shared" si="41"/>
        <v>647910</v>
      </c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>
      <c r="A426" s="541" t="s">
        <v>1313</v>
      </c>
      <c r="B426" s="542">
        <v>17</v>
      </c>
      <c r="C426" s="543">
        <v>78.25</v>
      </c>
      <c r="D426" s="544">
        <v>12</v>
      </c>
      <c r="E426" s="32">
        <f t="shared" si="39"/>
        <v>28170</v>
      </c>
      <c r="F426" s="545" t="s">
        <v>1281</v>
      </c>
      <c r="G426" s="34"/>
      <c r="H426" s="34"/>
      <c r="I426" s="34">
        <f t="shared" si="38"/>
        <v>51000</v>
      </c>
      <c r="J426" s="34"/>
      <c r="K426" s="34">
        <f t="shared" si="40"/>
        <v>237998.64000000004</v>
      </c>
      <c r="L426" s="42"/>
      <c r="M426" s="33"/>
      <c r="N426" s="33"/>
      <c r="O426" s="33"/>
      <c r="P426" s="33"/>
      <c r="Q426" s="34">
        <f t="shared" si="41"/>
        <v>478890</v>
      </c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>
      <c r="A427" s="547" t="s">
        <v>1314</v>
      </c>
      <c r="B427" s="542">
        <v>12</v>
      </c>
      <c r="C427" s="543">
        <v>73.59</v>
      </c>
      <c r="D427" s="544">
        <v>12</v>
      </c>
      <c r="E427" s="32">
        <f t="shared" si="39"/>
        <v>26492.400000000001</v>
      </c>
      <c r="F427" s="545" t="s">
        <v>1281</v>
      </c>
      <c r="G427" s="34"/>
      <c r="H427" s="34"/>
      <c r="I427" s="34">
        <f t="shared" si="38"/>
        <v>36000</v>
      </c>
      <c r="J427" s="34"/>
      <c r="K427" s="34">
        <f t="shared" si="40"/>
        <v>167999.04000000004</v>
      </c>
      <c r="L427" s="42"/>
      <c r="M427" s="33"/>
      <c r="N427" s="33"/>
      <c r="O427" s="33"/>
      <c r="P427" s="33"/>
      <c r="Q427" s="34">
        <f t="shared" si="41"/>
        <v>317908.80000000005</v>
      </c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>
      <c r="A428" s="541" t="s">
        <v>1315</v>
      </c>
      <c r="B428" s="542">
        <v>7</v>
      </c>
      <c r="C428" s="543">
        <v>74.63</v>
      </c>
      <c r="D428" s="544">
        <v>12</v>
      </c>
      <c r="E428" s="32">
        <f t="shared" si="39"/>
        <v>26866.799999999996</v>
      </c>
      <c r="F428" s="545" t="s">
        <v>1281</v>
      </c>
      <c r="G428" s="34"/>
      <c r="H428" s="34"/>
      <c r="I428" s="34">
        <f t="shared" si="38"/>
        <v>21000</v>
      </c>
      <c r="J428" s="34"/>
      <c r="K428" s="34">
        <f t="shared" si="40"/>
        <v>97999.440000000017</v>
      </c>
      <c r="L428" s="42"/>
      <c r="M428" s="33"/>
      <c r="N428" s="33"/>
      <c r="O428" s="33"/>
      <c r="P428" s="33"/>
      <c r="Q428" s="34">
        <f t="shared" si="41"/>
        <v>188067.59999999998</v>
      </c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>
      <c r="A429" s="541" t="s">
        <v>1316</v>
      </c>
      <c r="B429" s="542">
        <v>2</v>
      </c>
      <c r="C429" s="543">
        <v>74.63</v>
      </c>
      <c r="D429" s="544">
        <v>12</v>
      </c>
      <c r="E429" s="32">
        <f t="shared" si="39"/>
        <v>26866.799999999996</v>
      </c>
      <c r="F429" s="545" t="s">
        <v>1281</v>
      </c>
      <c r="G429" s="34"/>
      <c r="H429" s="34"/>
      <c r="I429" s="34">
        <f t="shared" si="38"/>
        <v>6000</v>
      </c>
      <c r="J429" s="34"/>
      <c r="K429" s="34">
        <f t="shared" si="40"/>
        <v>27999.840000000004</v>
      </c>
      <c r="L429" s="42"/>
      <c r="M429" s="33"/>
      <c r="N429" s="33"/>
      <c r="O429" s="33"/>
      <c r="P429" s="33"/>
      <c r="Q429" s="34">
        <f t="shared" si="41"/>
        <v>53733.599999999991</v>
      </c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>
      <c r="A430" s="541" t="s">
        <v>843</v>
      </c>
      <c r="B430" s="542">
        <v>3</v>
      </c>
      <c r="C430" s="543">
        <v>72.540000000000006</v>
      </c>
      <c r="D430" s="544">
        <v>12</v>
      </c>
      <c r="E430" s="32">
        <f t="shared" si="39"/>
        <v>26114.400000000001</v>
      </c>
      <c r="F430" s="545" t="s">
        <v>1281</v>
      </c>
      <c r="G430" s="34"/>
      <c r="H430" s="34"/>
      <c r="I430" s="34">
        <f t="shared" si="38"/>
        <v>9000</v>
      </c>
      <c r="J430" s="34"/>
      <c r="K430" s="34">
        <f t="shared" si="40"/>
        <v>41999.760000000009</v>
      </c>
      <c r="L430" s="42"/>
      <c r="M430" s="33"/>
      <c r="N430" s="33"/>
      <c r="O430" s="33"/>
      <c r="P430" s="33"/>
      <c r="Q430" s="34">
        <f t="shared" si="41"/>
        <v>78343.200000000012</v>
      </c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>
      <c r="A431" s="541" t="s">
        <v>1317</v>
      </c>
      <c r="B431" s="542">
        <v>2</v>
      </c>
      <c r="C431" s="543">
        <v>74.59</v>
      </c>
      <c r="D431" s="544">
        <v>12</v>
      </c>
      <c r="E431" s="32">
        <f t="shared" si="39"/>
        <v>26852.400000000001</v>
      </c>
      <c r="F431" s="545" t="s">
        <v>1281</v>
      </c>
      <c r="G431" s="34"/>
      <c r="H431" s="34"/>
      <c r="I431" s="34">
        <f t="shared" si="38"/>
        <v>6000</v>
      </c>
      <c r="J431" s="34"/>
      <c r="K431" s="34">
        <f t="shared" si="40"/>
        <v>27999.840000000004</v>
      </c>
      <c r="L431" s="42"/>
      <c r="M431" s="33"/>
      <c r="N431" s="33"/>
      <c r="O431" s="33"/>
      <c r="P431" s="33"/>
      <c r="Q431" s="34">
        <f t="shared" si="41"/>
        <v>53704.800000000003</v>
      </c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>
      <c r="A432" s="546" t="s">
        <v>1318</v>
      </c>
      <c r="B432" s="542">
        <v>106</v>
      </c>
      <c r="C432" s="543">
        <v>73.59</v>
      </c>
      <c r="D432" s="544">
        <v>12</v>
      </c>
      <c r="E432" s="32">
        <f t="shared" si="39"/>
        <v>26492.400000000001</v>
      </c>
      <c r="F432" s="545" t="s">
        <v>1281</v>
      </c>
      <c r="G432" s="34"/>
      <c r="H432" s="34"/>
      <c r="I432" s="34">
        <f t="shared" si="38"/>
        <v>318000</v>
      </c>
      <c r="J432" s="34"/>
      <c r="K432" s="34">
        <f t="shared" si="40"/>
        <v>1483991.5200000003</v>
      </c>
      <c r="L432" s="42"/>
      <c r="M432" s="33"/>
      <c r="N432" s="33"/>
      <c r="O432" s="33"/>
      <c r="P432" s="33"/>
      <c r="Q432" s="34">
        <f t="shared" si="41"/>
        <v>2808194.4000000004</v>
      </c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>
      <c r="A433" s="541" t="s">
        <v>1319</v>
      </c>
      <c r="B433" s="550">
        <v>22</v>
      </c>
      <c r="C433" s="543">
        <v>73.59</v>
      </c>
      <c r="D433" s="544">
        <v>12</v>
      </c>
      <c r="E433" s="32">
        <f t="shared" si="39"/>
        <v>26492.400000000001</v>
      </c>
      <c r="F433" s="545" t="s">
        <v>1281</v>
      </c>
      <c r="G433" s="34"/>
      <c r="H433" s="34"/>
      <c r="I433" s="34">
        <f t="shared" si="38"/>
        <v>66000</v>
      </c>
      <c r="J433" s="34"/>
      <c r="K433" s="34">
        <f t="shared" si="40"/>
        <v>307998.24000000005</v>
      </c>
      <c r="L433" s="42"/>
      <c r="M433" s="33"/>
      <c r="N433" s="33"/>
      <c r="O433" s="33"/>
      <c r="P433" s="33"/>
      <c r="Q433" s="34">
        <f t="shared" si="41"/>
        <v>582832.80000000005</v>
      </c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>
      <c r="A434" s="541" t="s">
        <v>1320</v>
      </c>
      <c r="B434" s="542">
        <v>47</v>
      </c>
      <c r="C434" s="543">
        <v>73.59</v>
      </c>
      <c r="D434" s="544">
        <v>12</v>
      </c>
      <c r="E434" s="32">
        <f t="shared" si="39"/>
        <v>26492.400000000001</v>
      </c>
      <c r="F434" s="545" t="s">
        <v>1281</v>
      </c>
      <c r="G434" s="34"/>
      <c r="H434" s="34"/>
      <c r="I434" s="34">
        <f t="shared" si="38"/>
        <v>141000</v>
      </c>
      <c r="J434" s="34"/>
      <c r="K434" s="34">
        <f t="shared" si="40"/>
        <v>657996.24000000011</v>
      </c>
      <c r="L434" s="42"/>
      <c r="M434" s="33"/>
      <c r="N434" s="33"/>
      <c r="O434" s="33"/>
      <c r="P434" s="33"/>
      <c r="Q434" s="34">
        <f t="shared" si="41"/>
        <v>1245142.8</v>
      </c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>
      <c r="A435" s="541" t="s">
        <v>1321</v>
      </c>
      <c r="B435" s="550">
        <v>1282</v>
      </c>
      <c r="C435" s="543">
        <v>71.400000000000006</v>
      </c>
      <c r="D435" s="544">
        <v>12</v>
      </c>
      <c r="E435" s="32">
        <f t="shared" si="39"/>
        <v>25704</v>
      </c>
      <c r="F435" s="545" t="s">
        <v>1281</v>
      </c>
      <c r="G435" s="34"/>
      <c r="H435" s="34"/>
      <c r="I435" s="34">
        <f t="shared" si="38"/>
        <v>3846000</v>
      </c>
      <c r="J435" s="34"/>
      <c r="K435" s="34">
        <f t="shared" si="40"/>
        <v>17947897.440000001</v>
      </c>
      <c r="L435" s="42"/>
      <c r="M435" s="33"/>
      <c r="N435" s="33"/>
      <c r="O435" s="33"/>
      <c r="P435" s="33"/>
      <c r="Q435" s="34">
        <f t="shared" si="41"/>
        <v>32952528</v>
      </c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>
      <c r="A436" s="547" t="s">
        <v>1322</v>
      </c>
      <c r="B436" s="542">
        <v>1</v>
      </c>
      <c r="C436" s="543">
        <v>75.64</v>
      </c>
      <c r="D436" s="544">
        <v>12</v>
      </c>
      <c r="E436" s="32">
        <f t="shared" si="39"/>
        <v>27230.399999999998</v>
      </c>
      <c r="F436" s="545" t="s">
        <v>1281</v>
      </c>
      <c r="G436" s="34"/>
      <c r="H436" s="34"/>
      <c r="I436" s="34">
        <f t="shared" si="38"/>
        <v>3000</v>
      </c>
      <c r="J436" s="34"/>
      <c r="K436" s="34">
        <f t="shared" si="40"/>
        <v>13999.920000000002</v>
      </c>
      <c r="L436" s="42"/>
      <c r="M436" s="33"/>
      <c r="N436" s="33"/>
      <c r="O436" s="33"/>
      <c r="P436" s="33"/>
      <c r="Q436" s="34">
        <f t="shared" si="41"/>
        <v>27230.399999999998</v>
      </c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>
      <c r="A437" s="541" t="s">
        <v>1323</v>
      </c>
      <c r="B437" s="542">
        <v>1</v>
      </c>
      <c r="C437" s="543">
        <v>72.540000000000006</v>
      </c>
      <c r="D437" s="544">
        <v>12</v>
      </c>
      <c r="E437" s="32">
        <f t="shared" si="39"/>
        <v>26114.400000000001</v>
      </c>
      <c r="F437" s="545" t="s">
        <v>1281</v>
      </c>
      <c r="G437" s="34"/>
      <c r="H437" s="34"/>
      <c r="I437" s="34">
        <f t="shared" si="38"/>
        <v>3000</v>
      </c>
      <c r="J437" s="34"/>
      <c r="K437" s="34">
        <f t="shared" si="40"/>
        <v>13999.920000000002</v>
      </c>
      <c r="L437" s="42"/>
      <c r="M437" s="33"/>
      <c r="N437" s="33"/>
      <c r="O437" s="33"/>
      <c r="P437" s="33"/>
      <c r="Q437" s="34">
        <f t="shared" si="41"/>
        <v>26114.400000000001</v>
      </c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>
      <c r="A438" s="541" t="s">
        <v>638</v>
      </c>
      <c r="B438" s="542">
        <v>19</v>
      </c>
      <c r="C438" s="543">
        <v>71.400000000000006</v>
      </c>
      <c r="D438" s="544">
        <v>12</v>
      </c>
      <c r="E438" s="32">
        <f t="shared" si="39"/>
        <v>25704</v>
      </c>
      <c r="F438" s="545" t="s">
        <v>1281</v>
      </c>
      <c r="G438" s="34"/>
      <c r="H438" s="34"/>
      <c r="I438" s="34">
        <f t="shared" si="38"/>
        <v>57000</v>
      </c>
      <c r="J438" s="34"/>
      <c r="K438" s="34">
        <f t="shared" si="40"/>
        <v>265998.48000000004</v>
      </c>
      <c r="L438" s="42"/>
      <c r="M438" s="33"/>
      <c r="N438" s="33"/>
      <c r="O438" s="33"/>
      <c r="P438" s="33"/>
      <c r="Q438" s="34">
        <f t="shared" si="41"/>
        <v>488376</v>
      </c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>
      <c r="A439" s="546" t="s">
        <v>639</v>
      </c>
      <c r="B439" s="542">
        <v>29</v>
      </c>
      <c r="C439" s="543">
        <v>72.540000000000006</v>
      </c>
      <c r="D439" s="544">
        <v>12</v>
      </c>
      <c r="E439" s="32">
        <f t="shared" si="39"/>
        <v>26114.400000000001</v>
      </c>
      <c r="F439" s="545" t="s">
        <v>1281</v>
      </c>
      <c r="G439" s="34"/>
      <c r="H439" s="34"/>
      <c r="I439" s="34">
        <f t="shared" si="38"/>
        <v>87000</v>
      </c>
      <c r="J439" s="34"/>
      <c r="K439" s="34">
        <f t="shared" si="40"/>
        <v>405997.68000000005</v>
      </c>
      <c r="L439" s="42"/>
      <c r="M439" s="33"/>
      <c r="N439" s="33"/>
      <c r="O439" s="33"/>
      <c r="P439" s="33"/>
      <c r="Q439" s="34">
        <f t="shared" si="41"/>
        <v>757317.60000000009</v>
      </c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>
      <c r="A440" s="541" t="s">
        <v>999</v>
      </c>
      <c r="B440" s="542">
        <v>3</v>
      </c>
      <c r="C440" s="543">
        <v>73.59</v>
      </c>
      <c r="D440" s="544">
        <v>12</v>
      </c>
      <c r="E440" s="32">
        <f t="shared" si="39"/>
        <v>26492.400000000001</v>
      </c>
      <c r="F440" s="545" t="s">
        <v>1281</v>
      </c>
      <c r="G440" s="34"/>
      <c r="H440" s="34"/>
      <c r="I440" s="34">
        <f t="shared" si="38"/>
        <v>9000</v>
      </c>
      <c r="J440" s="34"/>
      <c r="K440" s="34">
        <f t="shared" si="40"/>
        <v>41999.760000000009</v>
      </c>
      <c r="L440" s="42"/>
      <c r="M440" s="33"/>
      <c r="N440" s="33"/>
      <c r="O440" s="33"/>
      <c r="P440" s="33"/>
      <c r="Q440" s="34">
        <f t="shared" si="41"/>
        <v>79477.200000000012</v>
      </c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>
      <c r="A441" s="541" t="s">
        <v>1324</v>
      </c>
      <c r="B441" s="542">
        <v>15</v>
      </c>
      <c r="C441" s="543">
        <v>75.64</v>
      </c>
      <c r="D441" s="544">
        <v>12</v>
      </c>
      <c r="E441" s="32">
        <f t="shared" si="39"/>
        <v>27230.399999999998</v>
      </c>
      <c r="F441" s="545" t="s">
        <v>1281</v>
      </c>
      <c r="G441" s="34"/>
      <c r="H441" s="34"/>
      <c r="I441" s="34">
        <f t="shared" si="38"/>
        <v>45000</v>
      </c>
      <c r="J441" s="34"/>
      <c r="K441" s="34">
        <f t="shared" si="40"/>
        <v>209998.80000000002</v>
      </c>
      <c r="L441" s="42"/>
      <c r="M441" s="33"/>
      <c r="N441" s="33"/>
      <c r="O441" s="33"/>
      <c r="P441" s="33"/>
      <c r="Q441" s="34">
        <f t="shared" si="41"/>
        <v>408456</v>
      </c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>
      <c r="A442" s="541" t="s">
        <v>1325</v>
      </c>
      <c r="B442" s="542">
        <v>3</v>
      </c>
      <c r="C442" s="543">
        <v>71.400000000000006</v>
      </c>
      <c r="D442" s="544">
        <v>12</v>
      </c>
      <c r="E442" s="32">
        <f t="shared" si="39"/>
        <v>25704</v>
      </c>
      <c r="F442" s="545" t="s">
        <v>1281</v>
      </c>
      <c r="G442" s="34"/>
      <c r="H442" s="34"/>
      <c r="I442" s="34">
        <f t="shared" si="38"/>
        <v>9000</v>
      </c>
      <c r="J442" s="34"/>
      <c r="K442" s="34">
        <f t="shared" si="40"/>
        <v>41999.760000000009</v>
      </c>
      <c r="L442" s="42"/>
      <c r="M442" s="33"/>
      <c r="N442" s="33"/>
      <c r="O442" s="33"/>
      <c r="P442" s="33"/>
      <c r="Q442" s="34">
        <f t="shared" si="41"/>
        <v>77112</v>
      </c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>
      <c r="A443" s="546" t="s">
        <v>1326</v>
      </c>
      <c r="B443" s="542">
        <v>5</v>
      </c>
      <c r="C443" s="543">
        <v>75.64</v>
      </c>
      <c r="D443" s="544">
        <v>12</v>
      </c>
      <c r="E443" s="32">
        <f t="shared" si="39"/>
        <v>27230.399999999998</v>
      </c>
      <c r="F443" s="545" t="s">
        <v>1281</v>
      </c>
      <c r="G443" s="34"/>
      <c r="H443" s="34"/>
      <c r="I443" s="34">
        <f t="shared" si="38"/>
        <v>15000</v>
      </c>
      <c r="J443" s="34"/>
      <c r="K443" s="34">
        <f t="shared" si="40"/>
        <v>69999.600000000006</v>
      </c>
      <c r="L443" s="42"/>
      <c r="M443" s="33"/>
      <c r="N443" s="33"/>
      <c r="O443" s="33"/>
      <c r="P443" s="33"/>
      <c r="Q443" s="34">
        <f t="shared" si="41"/>
        <v>136152</v>
      </c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>
      <c r="A444" s="546" t="s">
        <v>1327</v>
      </c>
      <c r="B444" s="542">
        <v>9</v>
      </c>
      <c r="C444" s="543">
        <v>78.25</v>
      </c>
      <c r="D444" s="544">
        <v>12</v>
      </c>
      <c r="E444" s="32">
        <f t="shared" si="39"/>
        <v>28170</v>
      </c>
      <c r="F444" s="545" t="s">
        <v>1281</v>
      </c>
      <c r="G444" s="34"/>
      <c r="H444" s="34"/>
      <c r="I444" s="34">
        <f t="shared" si="38"/>
        <v>27000</v>
      </c>
      <c r="J444" s="34"/>
      <c r="K444" s="34">
        <f t="shared" si="40"/>
        <v>125999.28000000001</v>
      </c>
      <c r="L444" s="42"/>
      <c r="M444" s="33"/>
      <c r="N444" s="33"/>
      <c r="O444" s="33"/>
      <c r="P444" s="33"/>
      <c r="Q444" s="34">
        <f t="shared" si="41"/>
        <v>253530</v>
      </c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>
      <c r="A445" s="541" t="s">
        <v>1328</v>
      </c>
      <c r="B445" s="542">
        <v>1</v>
      </c>
      <c r="C445" s="543">
        <v>72.540000000000006</v>
      </c>
      <c r="D445" s="544">
        <v>12</v>
      </c>
      <c r="E445" s="32">
        <f t="shared" si="39"/>
        <v>26114.400000000001</v>
      </c>
      <c r="F445" s="545" t="s">
        <v>1281</v>
      </c>
      <c r="G445" s="34"/>
      <c r="H445" s="34"/>
      <c r="I445" s="34">
        <f t="shared" si="38"/>
        <v>3000</v>
      </c>
      <c r="J445" s="34"/>
      <c r="K445" s="34">
        <f t="shared" si="40"/>
        <v>13999.920000000002</v>
      </c>
      <c r="L445" s="42"/>
      <c r="M445" s="33"/>
      <c r="N445" s="33"/>
      <c r="O445" s="33"/>
      <c r="P445" s="33"/>
      <c r="Q445" s="34">
        <f t="shared" si="41"/>
        <v>26114.400000000001</v>
      </c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>
      <c r="A446" s="541" t="s">
        <v>1329</v>
      </c>
      <c r="B446" s="542">
        <v>2</v>
      </c>
      <c r="C446" s="543">
        <v>73.59</v>
      </c>
      <c r="D446" s="544">
        <v>12</v>
      </c>
      <c r="E446" s="32">
        <f t="shared" si="39"/>
        <v>26492.400000000001</v>
      </c>
      <c r="F446" s="545" t="s">
        <v>1281</v>
      </c>
      <c r="G446" s="34"/>
      <c r="H446" s="34"/>
      <c r="I446" s="34">
        <f t="shared" si="38"/>
        <v>6000</v>
      </c>
      <c r="J446" s="34"/>
      <c r="K446" s="34">
        <f t="shared" si="40"/>
        <v>27999.840000000004</v>
      </c>
      <c r="L446" s="42"/>
      <c r="M446" s="33"/>
      <c r="N446" s="33"/>
      <c r="O446" s="33"/>
      <c r="P446" s="33"/>
      <c r="Q446" s="34">
        <f t="shared" si="41"/>
        <v>52984.800000000003</v>
      </c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>
      <c r="A447" s="541" t="s">
        <v>1330</v>
      </c>
      <c r="B447" s="542">
        <v>2</v>
      </c>
      <c r="C447" s="543">
        <v>73.59</v>
      </c>
      <c r="D447" s="544">
        <v>12</v>
      </c>
      <c r="E447" s="32">
        <f t="shared" si="39"/>
        <v>26492.400000000001</v>
      </c>
      <c r="F447" s="545" t="s">
        <v>1281</v>
      </c>
      <c r="G447" s="34"/>
      <c r="H447" s="34"/>
      <c r="I447" s="34">
        <f t="shared" si="38"/>
        <v>6000</v>
      </c>
      <c r="J447" s="34"/>
      <c r="K447" s="34">
        <f t="shared" si="40"/>
        <v>27999.840000000004</v>
      </c>
      <c r="L447" s="42"/>
      <c r="M447" s="33"/>
      <c r="N447" s="33"/>
      <c r="O447" s="33"/>
      <c r="P447" s="33"/>
      <c r="Q447" s="34">
        <f t="shared" si="41"/>
        <v>52984.800000000003</v>
      </c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>
      <c r="A448" s="541" t="s">
        <v>1331</v>
      </c>
      <c r="B448" s="542">
        <v>2</v>
      </c>
      <c r="C448" s="543">
        <v>73.59</v>
      </c>
      <c r="D448" s="544">
        <v>12</v>
      </c>
      <c r="E448" s="32">
        <f t="shared" si="39"/>
        <v>26492.400000000001</v>
      </c>
      <c r="F448" s="545" t="s">
        <v>1281</v>
      </c>
      <c r="G448" s="34"/>
      <c r="H448" s="34"/>
      <c r="I448" s="34">
        <f t="shared" si="38"/>
        <v>6000</v>
      </c>
      <c r="J448" s="34"/>
      <c r="K448" s="34">
        <f t="shared" si="40"/>
        <v>27999.840000000004</v>
      </c>
      <c r="L448" s="42"/>
      <c r="M448" s="33"/>
      <c r="N448" s="33"/>
      <c r="O448" s="33"/>
      <c r="P448" s="33"/>
      <c r="Q448" s="34">
        <f t="shared" si="41"/>
        <v>52984.800000000003</v>
      </c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8">
      <c r="A449" s="541" t="s">
        <v>1332</v>
      </c>
      <c r="B449" s="542">
        <v>1</v>
      </c>
      <c r="C449" s="543">
        <v>75.64</v>
      </c>
      <c r="D449" s="544">
        <v>12</v>
      </c>
      <c r="E449" s="32">
        <f t="shared" si="39"/>
        <v>27230.399999999998</v>
      </c>
      <c r="F449" s="545" t="s">
        <v>1281</v>
      </c>
      <c r="G449" s="34"/>
      <c r="H449" s="34"/>
      <c r="I449" s="34">
        <f t="shared" si="38"/>
        <v>3000</v>
      </c>
      <c r="J449" s="34"/>
      <c r="K449" s="34">
        <f t="shared" si="40"/>
        <v>13999.920000000002</v>
      </c>
      <c r="L449" s="42"/>
      <c r="M449" s="33"/>
      <c r="N449" s="33"/>
      <c r="O449" s="33"/>
      <c r="P449" s="33"/>
      <c r="Q449" s="34">
        <f t="shared" si="41"/>
        <v>27230.399999999998</v>
      </c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8">
      <c r="A450" s="541" t="s">
        <v>1333</v>
      </c>
      <c r="B450" s="542">
        <v>1</v>
      </c>
      <c r="C450" s="543">
        <v>72.540000000000006</v>
      </c>
      <c r="D450" s="544">
        <v>12</v>
      </c>
      <c r="E450" s="32">
        <f t="shared" si="39"/>
        <v>26114.400000000001</v>
      </c>
      <c r="F450" s="545" t="s">
        <v>1281</v>
      </c>
      <c r="G450" s="34"/>
      <c r="H450" s="34"/>
      <c r="I450" s="34">
        <f t="shared" si="38"/>
        <v>3000</v>
      </c>
      <c r="J450" s="34"/>
      <c r="K450" s="34">
        <f t="shared" si="40"/>
        <v>13999.920000000002</v>
      </c>
      <c r="L450" s="42"/>
      <c r="M450" s="33"/>
      <c r="N450" s="33"/>
      <c r="O450" s="33"/>
      <c r="P450" s="33"/>
      <c r="Q450" s="34">
        <f t="shared" si="41"/>
        <v>26114.400000000001</v>
      </c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8">
      <c r="A451" s="541" t="s">
        <v>640</v>
      </c>
      <c r="B451" s="542">
        <v>4</v>
      </c>
      <c r="C451" s="543">
        <v>72.540000000000006</v>
      </c>
      <c r="D451" s="544">
        <v>12</v>
      </c>
      <c r="E451" s="32">
        <f t="shared" si="39"/>
        <v>26114.400000000001</v>
      </c>
      <c r="F451" s="545" t="s">
        <v>1281</v>
      </c>
      <c r="G451" s="34"/>
      <c r="H451" s="34"/>
      <c r="I451" s="34">
        <f t="shared" si="38"/>
        <v>12000</v>
      </c>
      <c r="J451" s="34"/>
      <c r="K451" s="34">
        <f t="shared" si="40"/>
        <v>55999.680000000008</v>
      </c>
      <c r="L451" s="42"/>
      <c r="M451" s="33"/>
      <c r="N451" s="33"/>
      <c r="O451" s="33"/>
      <c r="P451" s="33"/>
      <c r="Q451" s="34">
        <f t="shared" si="41"/>
        <v>104457.60000000001</v>
      </c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8">
      <c r="A452" s="546" t="s">
        <v>1334</v>
      </c>
      <c r="B452" s="542">
        <v>3</v>
      </c>
      <c r="C452" s="543">
        <v>73.59</v>
      </c>
      <c r="D452" s="544">
        <v>12</v>
      </c>
      <c r="E452" s="32">
        <f t="shared" si="39"/>
        <v>26492.400000000001</v>
      </c>
      <c r="F452" s="545" t="s">
        <v>1281</v>
      </c>
      <c r="G452" s="34"/>
      <c r="H452" s="34"/>
      <c r="I452" s="34">
        <f t="shared" ref="I452" si="42">250*B452*12</f>
        <v>9000</v>
      </c>
      <c r="J452" s="34"/>
      <c r="K452" s="34">
        <f t="shared" si="40"/>
        <v>41999.760000000009</v>
      </c>
      <c r="L452" s="42"/>
      <c r="M452" s="33"/>
      <c r="N452" s="33"/>
      <c r="O452" s="33"/>
      <c r="P452" s="33"/>
      <c r="Q452" s="34">
        <f t="shared" si="41"/>
        <v>79477.200000000012</v>
      </c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8">
      <c r="A453" s="551"/>
      <c r="B453" s="30">
        <f>SUM(B388:B452)</f>
        <v>2234</v>
      </c>
      <c r="C453" s="41"/>
      <c r="D453" s="30"/>
      <c r="E453" s="32"/>
      <c r="F453" s="30"/>
      <c r="G453" s="34"/>
      <c r="H453" s="34"/>
      <c r="I453" s="34"/>
      <c r="J453" s="34"/>
      <c r="K453" s="34"/>
      <c r="L453" s="42"/>
      <c r="M453" s="33"/>
      <c r="N453" s="33"/>
      <c r="O453" s="33"/>
      <c r="P453" s="33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269"/>
      <c r="AB453" s="269"/>
    </row>
    <row r="454" spans="1:28">
      <c r="A454" s="552" t="s">
        <v>1025</v>
      </c>
      <c r="B454" s="30">
        <v>131</v>
      </c>
      <c r="C454" s="41">
        <v>100000</v>
      </c>
      <c r="D454" s="30">
        <v>1</v>
      </c>
      <c r="E454" s="32">
        <f>+D454*C454</f>
        <v>100000</v>
      </c>
      <c r="F454" s="30"/>
      <c r="G454" s="34"/>
      <c r="H454" s="34"/>
      <c r="I454" s="34"/>
      <c r="J454" s="34"/>
      <c r="K454" s="34"/>
      <c r="L454" s="42"/>
      <c r="M454" s="33"/>
      <c r="N454" s="33"/>
      <c r="O454" s="33"/>
      <c r="P454" s="33"/>
      <c r="Q454" s="34"/>
      <c r="R454" s="34"/>
      <c r="S454" s="34"/>
      <c r="T454" s="34" t="s">
        <v>24</v>
      </c>
      <c r="U454" s="34">
        <v>100000</v>
      </c>
      <c r="V454" s="34"/>
      <c r="W454" s="34"/>
      <c r="X454" s="34"/>
      <c r="Y454" s="34"/>
      <c r="Z454" s="34"/>
      <c r="AA454" s="553"/>
      <c r="AB454" s="554"/>
    </row>
    <row r="455" spans="1:28">
      <c r="A455" s="552" t="s">
        <v>1027</v>
      </c>
      <c r="B455" s="30">
        <v>133</v>
      </c>
      <c r="C455" s="41">
        <v>694160</v>
      </c>
      <c r="D455" s="30">
        <v>1</v>
      </c>
      <c r="E455" s="32">
        <f t="shared" ref="E455:E460" si="43">+D455*C455</f>
        <v>694160</v>
      </c>
      <c r="F455" s="30"/>
      <c r="G455" s="34"/>
      <c r="H455" s="34"/>
      <c r="I455" s="34"/>
      <c r="J455" s="34"/>
      <c r="K455" s="34"/>
      <c r="L455" s="42"/>
      <c r="M455" s="33"/>
      <c r="N455" s="33"/>
      <c r="O455" s="33"/>
      <c r="P455" s="33"/>
      <c r="Q455" s="34"/>
      <c r="R455" s="34"/>
      <c r="S455" s="34"/>
      <c r="T455" s="34"/>
      <c r="U455" s="34"/>
      <c r="V455" s="34">
        <v>651260</v>
      </c>
      <c r="W455" s="34"/>
      <c r="X455" s="34"/>
      <c r="Y455" s="34"/>
      <c r="Z455" s="34"/>
      <c r="AA455" s="553"/>
      <c r="AB455" s="554"/>
    </row>
    <row r="456" spans="1:28">
      <c r="A456" s="555" t="s">
        <v>1335</v>
      </c>
      <c r="B456" s="30">
        <v>411</v>
      </c>
      <c r="C456" s="41">
        <v>135719</v>
      </c>
      <c r="D456" s="30">
        <v>1</v>
      </c>
      <c r="E456" s="32">
        <f t="shared" si="43"/>
        <v>135719</v>
      </c>
      <c r="F456" s="30"/>
      <c r="G456" s="34"/>
      <c r="H456" s="34"/>
      <c r="I456" s="34"/>
      <c r="J456" s="34"/>
      <c r="K456" s="34"/>
      <c r="L456" s="42"/>
      <c r="M456" s="33"/>
      <c r="N456" s="33"/>
      <c r="O456" s="33"/>
      <c r="P456" s="33"/>
      <c r="Q456" s="34"/>
      <c r="R456" s="34"/>
      <c r="S456" s="34"/>
      <c r="T456" s="34"/>
      <c r="U456" s="34"/>
      <c r="V456" s="34"/>
      <c r="W456" s="34">
        <v>135719</v>
      </c>
      <c r="X456" s="34"/>
      <c r="Y456" s="34"/>
      <c r="Z456" s="34"/>
      <c r="AA456" s="553"/>
      <c r="AB456" s="554"/>
    </row>
    <row r="457" spans="1:28">
      <c r="A457" s="555" t="s">
        <v>962</v>
      </c>
      <c r="B457" s="30">
        <v>412</v>
      </c>
      <c r="C457" s="41">
        <v>289087</v>
      </c>
      <c r="D457" s="30">
        <v>1</v>
      </c>
      <c r="E457" s="32">
        <f t="shared" si="43"/>
        <v>289087</v>
      </c>
      <c r="F457" s="30"/>
      <c r="G457" s="34"/>
      <c r="H457" s="34"/>
      <c r="I457" s="34"/>
      <c r="J457" s="34"/>
      <c r="K457" s="34"/>
      <c r="L457" s="42"/>
      <c r="M457" s="33"/>
      <c r="N457" s="33"/>
      <c r="O457" s="33"/>
      <c r="P457" s="33"/>
      <c r="Q457" s="34"/>
      <c r="R457" s="34"/>
      <c r="S457" s="34"/>
      <c r="T457" s="34"/>
      <c r="U457" s="34"/>
      <c r="V457" s="34"/>
      <c r="W457" s="34"/>
      <c r="X457" s="34">
        <v>302256</v>
      </c>
      <c r="Y457" s="34"/>
      <c r="Z457" s="34"/>
      <c r="AA457" s="553"/>
      <c r="AB457" s="554"/>
    </row>
    <row r="458" spans="1:28">
      <c r="A458" s="555" t="s">
        <v>963</v>
      </c>
      <c r="B458" s="30">
        <v>413</v>
      </c>
      <c r="C458" s="41">
        <v>1558108</v>
      </c>
      <c r="D458" s="30">
        <v>1</v>
      </c>
      <c r="E458" s="32">
        <f t="shared" si="43"/>
        <v>1558108</v>
      </c>
      <c r="F458" s="30"/>
      <c r="G458" s="34"/>
      <c r="H458" s="34"/>
      <c r="I458" s="34"/>
      <c r="J458" s="34"/>
      <c r="K458" s="34"/>
      <c r="L458" s="42"/>
      <c r="M458" s="33"/>
      <c r="N458" s="33"/>
      <c r="O458" s="33"/>
      <c r="P458" s="33"/>
      <c r="Q458" s="34"/>
      <c r="R458" s="34"/>
      <c r="S458" s="34"/>
      <c r="T458" s="34"/>
      <c r="U458" s="34"/>
      <c r="V458" s="34"/>
      <c r="W458" s="34"/>
      <c r="X458" s="34"/>
      <c r="Y458" s="34">
        <v>1613382</v>
      </c>
      <c r="Z458" s="34"/>
      <c r="AA458" s="553"/>
      <c r="AB458" s="554"/>
    </row>
    <row r="459" spans="1:28">
      <c r="A459" s="556" t="s">
        <v>964</v>
      </c>
      <c r="B459" s="30">
        <v>415</v>
      </c>
      <c r="C459" s="41">
        <v>364139</v>
      </c>
      <c r="D459" s="30">
        <v>1</v>
      </c>
      <c r="E459" s="32">
        <f t="shared" si="43"/>
        <v>364139</v>
      </c>
      <c r="F459" s="30"/>
      <c r="G459" s="34"/>
      <c r="H459" s="34"/>
      <c r="I459" s="34"/>
      <c r="J459" s="34"/>
      <c r="K459" s="34"/>
      <c r="L459" s="42"/>
      <c r="M459" s="33"/>
      <c r="N459" s="33"/>
      <c r="O459" s="33"/>
      <c r="P459" s="33"/>
      <c r="Q459" s="34"/>
      <c r="R459" s="34"/>
      <c r="S459" s="34"/>
      <c r="T459" s="34"/>
      <c r="U459" s="34"/>
      <c r="V459" s="34"/>
      <c r="W459" s="34"/>
      <c r="X459" s="34"/>
      <c r="Y459" s="34"/>
      <c r="Z459" s="34">
        <v>367273</v>
      </c>
      <c r="AA459" s="553"/>
      <c r="AB459" s="554"/>
    </row>
    <row r="460" spans="1:28" ht="15.75" thickBot="1">
      <c r="A460" s="557" t="s">
        <v>966</v>
      </c>
      <c r="B460" s="30">
        <v>913</v>
      </c>
      <c r="C460" s="41">
        <v>6000000</v>
      </c>
      <c r="D460" s="30">
        <v>1</v>
      </c>
      <c r="E460" s="32">
        <f t="shared" si="43"/>
        <v>6000000</v>
      </c>
      <c r="F460" s="30"/>
      <c r="G460" s="34"/>
      <c r="H460" s="34"/>
      <c r="I460" s="34"/>
      <c r="J460" s="34"/>
      <c r="K460" s="34"/>
      <c r="L460" s="42"/>
      <c r="M460" s="33"/>
      <c r="N460" s="33"/>
      <c r="O460" s="33"/>
      <c r="P460" s="33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553"/>
      <c r="AB460" s="554"/>
    </row>
    <row r="461" spans="1:28" ht="15.75" thickBot="1">
      <c r="A461" s="558"/>
      <c r="B461" s="305" t="s">
        <v>24</v>
      </c>
      <c r="C461" s="559"/>
      <c r="D461" s="560"/>
      <c r="E461" s="561"/>
      <c r="F461" s="562"/>
      <c r="G461" s="305">
        <f t="shared" ref="G461:Z461" si="44">SUM(G7:G460)</f>
        <v>19574519.40000001</v>
      </c>
      <c r="H461" s="305">
        <f t="shared" si="44"/>
        <v>507600</v>
      </c>
      <c r="I461" s="305">
        <f t="shared" si="44"/>
        <v>8394000</v>
      </c>
      <c r="J461" s="305">
        <f t="shared" si="44"/>
        <v>0</v>
      </c>
      <c r="K461" s="305">
        <f t="shared" si="44"/>
        <v>39171776.159999989</v>
      </c>
      <c r="L461" s="305">
        <f t="shared" si="44"/>
        <v>383148</v>
      </c>
      <c r="M461" s="305">
        <f t="shared" si="44"/>
        <v>11154000</v>
      </c>
      <c r="N461" s="305">
        <f t="shared" si="44"/>
        <v>25875</v>
      </c>
      <c r="O461" s="305">
        <f t="shared" si="44"/>
        <v>27250</v>
      </c>
      <c r="P461" s="305">
        <f t="shared" si="44"/>
        <v>15489288</v>
      </c>
      <c r="Q461" s="305">
        <f t="shared" si="44"/>
        <v>58961952</v>
      </c>
      <c r="R461" s="305">
        <f t="shared" si="44"/>
        <v>7668888.4800000088</v>
      </c>
      <c r="S461" s="305">
        <f t="shared" si="44"/>
        <v>20599823.40000001</v>
      </c>
      <c r="T461" s="305">
        <f t="shared" si="44"/>
        <v>20599823.40000001</v>
      </c>
      <c r="U461" s="305">
        <f t="shared" si="44"/>
        <v>100000</v>
      </c>
      <c r="V461" s="305">
        <f t="shared" si="44"/>
        <v>651260</v>
      </c>
      <c r="W461" s="305">
        <f t="shared" si="44"/>
        <v>135719</v>
      </c>
      <c r="X461" s="305">
        <f t="shared" si="44"/>
        <v>302256</v>
      </c>
      <c r="Y461" s="305">
        <f t="shared" si="44"/>
        <v>1613382</v>
      </c>
      <c r="Z461" s="305">
        <f t="shared" si="44"/>
        <v>367273</v>
      </c>
      <c r="AA461" s="563"/>
    </row>
    <row r="462" spans="1:28" ht="15.75" thickBot="1">
      <c r="A462" s="840" t="s">
        <v>163</v>
      </c>
      <c r="B462" s="841"/>
      <c r="C462" s="841"/>
      <c r="D462" s="841"/>
      <c r="E462" s="841"/>
      <c r="F462" s="841"/>
      <c r="G462" s="841"/>
      <c r="H462" s="841"/>
      <c r="I462" s="841"/>
      <c r="J462" s="841"/>
      <c r="K462" s="841"/>
      <c r="L462" s="841"/>
      <c r="M462" s="841"/>
      <c r="N462" s="841"/>
      <c r="O462" s="841"/>
      <c r="P462" s="841"/>
      <c r="Q462" s="841"/>
      <c r="R462" s="841"/>
      <c r="S462" s="841"/>
      <c r="T462" s="841"/>
      <c r="U462" s="841"/>
      <c r="V462" s="841"/>
      <c r="W462" s="841"/>
      <c r="X462" s="841"/>
      <c r="Y462" s="842"/>
      <c r="Z462" s="634">
        <f>SUM(G461:Z461)</f>
        <v>205727833.84000003</v>
      </c>
    </row>
    <row r="463" spans="1:28">
      <c r="A463" s="50"/>
      <c r="B463" s="51"/>
      <c r="C463" s="52"/>
      <c r="D463" s="35"/>
      <c r="E463" s="35"/>
      <c r="F463" s="80"/>
      <c r="G463" s="35"/>
      <c r="H463" s="35"/>
      <c r="I463" s="35"/>
      <c r="J463" s="35"/>
      <c r="K463" s="35"/>
      <c r="L463" s="35"/>
      <c r="M463" s="35"/>
      <c r="N463" s="35"/>
      <c r="O463" s="35"/>
      <c r="P463" s="44"/>
      <c r="Q463" s="35"/>
      <c r="R463" s="35"/>
      <c r="S463" s="35"/>
      <c r="T463" s="35"/>
      <c r="U463" s="35"/>
      <c r="V463" s="35"/>
      <c r="W463" s="35"/>
      <c r="X463" s="35"/>
      <c r="Y463" s="35"/>
      <c r="Z463" s="35"/>
    </row>
    <row r="464" spans="1:28">
      <c r="A464" s="49"/>
      <c r="B464" s="49"/>
      <c r="C464" s="49"/>
      <c r="D464" s="49"/>
      <c r="E464" s="49"/>
      <c r="F464" s="82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</row>
    <row r="465" spans="1:26">
      <c r="A465" s="49"/>
      <c r="B465" s="49"/>
      <c r="C465" s="49"/>
      <c r="D465" s="49"/>
      <c r="E465" s="49"/>
      <c r="F465" s="82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</row>
    <row r="466" spans="1:26">
      <c r="A466" s="35"/>
      <c r="B466" s="35"/>
      <c r="C466" s="35"/>
      <c r="D466" s="35"/>
      <c r="E466" s="35"/>
      <c r="F466" s="80"/>
      <c r="G466" s="35"/>
      <c r="H466" s="35"/>
      <c r="I466" s="35"/>
      <c r="J466" s="35"/>
      <c r="K466" s="35"/>
      <c r="L466" s="35"/>
      <c r="M466" s="35"/>
      <c r="N466" s="35"/>
      <c r="O466" s="35"/>
      <c r="P466" s="35"/>
      <c r="Q466" s="35"/>
      <c r="R466" s="35"/>
      <c r="S466" s="35"/>
      <c r="T466" s="35"/>
      <c r="U466" s="35"/>
      <c r="V466" s="35"/>
      <c r="W466" s="35"/>
      <c r="X466" s="35"/>
      <c r="Y466" s="35"/>
      <c r="Z466" s="35"/>
    </row>
    <row r="467" spans="1:26">
      <c r="A467" s="35"/>
      <c r="B467" s="35"/>
      <c r="C467" s="35"/>
      <c r="D467" s="35"/>
      <c r="E467" s="35"/>
      <c r="F467" s="80"/>
      <c r="G467" s="35"/>
      <c r="H467" s="35"/>
      <c r="I467" s="35"/>
      <c r="J467" s="35"/>
      <c r="K467" s="35"/>
      <c r="L467" s="35"/>
      <c r="M467" s="35"/>
      <c r="N467" s="35"/>
      <c r="O467" s="35"/>
      <c r="P467" s="35"/>
      <c r="Q467" s="35"/>
      <c r="R467" s="35"/>
      <c r="S467" s="35"/>
      <c r="T467" s="35"/>
      <c r="U467" s="35"/>
      <c r="V467" s="35"/>
      <c r="W467" s="35"/>
      <c r="X467" s="35"/>
      <c r="Y467" s="35"/>
      <c r="Z467" s="35"/>
    </row>
    <row r="468" spans="1:26">
      <c r="A468" s="35"/>
      <c r="B468" s="35"/>
      <c r="C468" s="44"/>
      <c r="D468" s="35"/>
      <c r="E468" s="35"/>
      <c r="F468" s="80"/>
      <c r="G468" s="35"/>
      <c r="H468" s="35"/>
      <c r="I468" s="35"/>
      <c r="J468" s="35"/>
      <c r="K468" s="35"/>
      <c r="L468" s="35"/>
      <c r="M468" s="35"/>
      <c r="N468" s="35"/>
      <c r="O468" s="35"/>
      <c r="P468" s="35"/>
      <c r="Q468" s="35"/>
      <c r="R468" s="35"/>
      <c r="S468" s="35"/>
      <c r="T468" s="35"/>
      <c r="U468" s="35"/>
      <c r="V468" s="35"/>
      <c r="W468" s="35"/>
      <c r="X468" s="35"/>
      <c r="Y468" s="35"/>
      <c r="Z468" s="35"/>
    </row>
    <row r="469" spans="1:26">
      <c r="A469" s="35"/>
      <c r="B469" s="35"/>
      <c r="C469" s="44"/>
      <c r="D469" s="35"/>
      <c r="E469" s="35"/>
      <c r="F469" s="80"/>
      <c r="G469" s="35"/>
      <c r="H469" s="35"/>
      <c r="I469" s="35"/>
      <c r="J469" s="35"/>
      <c r="K469" s="35"/>
      <c r="L469" s="35"/>
      <c r="M469" s="35"/>
      <c r="N469" s="35"/>
      <c r="O469" s="35"/>
      <c r="P469" s="35"/>
      <c r="Q469" s="35"/>
      <c r="R469" s="35"/>
      <c r="S469" s="35"/>
      <c r="T469" s="35"/>
      <c r="U469" s="35"/>
      <c r="V469" s="35"/>
      <c r="W469" s="35"/>
      <c r="X469" s="35"/>
      <c r="Y469" s="35"/>
      <c r="Z469" s="35"/>
    </row>
    <row r="470" spans="1:26">
      <c r="A470" s="27"/>
      <c r="B470" s="27"/>
      <c r="C470" s="28"/>
      <c r="D470" s="27"/>
      <c r="E470" s="27"/>
      <c r="F470" s="80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</sheetData>
  <mergeCells count="9">
    <mergeCell ref="A462:Y462"/>
    <mergeCell ref="A4:G4"/>
    <mergeCell ref="A5:A6"/>
    <mergeCell ref="B5:B6"/>
    <mergeCell ref="C5:C6"/>
    <mergeCell ref="D5:D6"/>
    <mergeCell ref="E5:E6"/>
    <mergeCell ref="F5:F6"/>
    <mergeCell ref="G5:Z5"/>
  </mergeCells>
  <pageMargins left="0.70866141732283472" right="0.70866141732283472" top="0.74803149606299213" bottom="0.74803149606299213" header="0.31496062992125984" footer="0.31496062992125984"/>
  <pageSetup paperSize="17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view="pageBreakPreview" topLeftCell="F64" zoomScale="96" zoomScaleNormal="100" zoomScaleSheetLayoutView="96" workbookViewId="0">
      <selection activeCell="A11" sqref="A11"/>
    </sheetView>
  </sheetViews>
  <sheetFormatPr baseColWidth="10" defaultRowHeight="15"/>
  <cols>
    <col min="1" max="1" width="25.140625" customWidth="1"/>
    <col min="2" max="2" width="14.5703125" customWidth="1"/>
    <col min="4" max="4" width="18.28515625" customWidth="1"/>
    <col min="6" max="6" width="19.28515625" style="624" customWidth="1"/>
    <col min="9" max="9" width="13.7109375" customWidth="1"/>
    <col min="11" max="16" width="15.85546875" customWidth="1"/>
    <col min="20" max="22" width="13.140625" customWidth="1"/>
    <col min="23" max="23" width="15.28515625" bestFit="1" customWidth="1"/>
    <col min="24" max="24" width="18.5703125" customWidth="1"/>
  </cols>
  <sheetData>
    <row r="1" spans="1:24">
      <c r="A1" s="25" t="s">
        <v>25</v>
      </c>
    </row>
    <row r="2" spans="1:24">
      <c r="A2" s="25" t="s">
        <v>97</v>
      </c>
    </row>
    <row r="3" spans="1:24">
      <c r="A3" s="25" t="s">
        <v>471</v>
      </c>
    </row>
    <row r="4" spans="1:24">
      <c r="A4" s="843" t="s">
        <v>472</v>
      </c>
      <c r="B4" s="843"/>
      <c r="C4" s="843"/>
      <c r="D4" s="843"/>
      <c r="E4" s="843"/>
      <c r="F4" s="843"/>
      <c r="G4" s="843"/>
    </row>
    <row r="5" spans="1:24" ht="15" customHeight="1">
      <c r="A5" s="844" t="s">
        <v>98</v>
      </c>
      <c r="B5" s="844" t="s">
        <v>36</v>
      </c>
      <c r="C5" s="844" t="s">
        <v>99</v>
      </c>
      <c r="D5" s="844" t="s">
        <v>100</v>
      </c>
      <c r="E5" s="844" t="s">
        <v>101</v>
      </c>
      <c r="F5" s="844" t="s">
        <v>38</v>
      </c>
      <c r="G5" s="848" t="s">
        <v>102</v>
      </c>
      <c r="H5" s="849"/>
      <c r="I5" s="849"/>
      <c r="J5" s="849"/>
      <c r="K5" s="849"/>
      <c r="L5" s="849"/>
      <c r="M5" s="849"/>
      <c r="N5" s="849"/>
      <c r="O5" s="849"/>
      <c r="P5" s="849"/>
      <c r="Q5" s="849"/>
      <c r="R5" s="849"/>
      <c r="S5" s="849"/>
      <c r="T5" s="849"/>
      <c r="U5" s="849"/>
      <c r="V5" s="849"/>
      <c r="W5" s="849"/>
      <c r="X5" s="851"/>
    </row>
    <row r="6" spans="1:24">
      <c r="A6" s="845"/>
      <c r="B6" s="845"/>
      <c r="C6" s="845"/>
      <c r="D6" s="845"/>
      <c r="E6" s="845"/>
      <c r="F6" s="845"/>
      <c r="G6" s="26">
        <v>11</v>
      </c>
      <c r="H6" s="26">
        <v>12</v>
      </c>
      <c r="I6" s="26">
        <v>13</v>
      </c>
      <c r="J6" s="26">
        <v>14</v>
      </c>
      <c r="K6" s="26">
        <v>15</v>
      </c>
      <c r="L6" s="26">
        <v>21</v>
      </c>
      <c r="M6" s="26">
        <v>22</v>
      </c>
      <c r="N6" s="26">
        <v>26</v>
      </c>
      <c r="O6" s="26">
        <v>27</v>
      </c>
      <c r="P6" s="26">
        <v>29</v>
      </c>
      <c r="Q6" s="26">
        <v>31</v>
      </c>
      <c r="R6" s="26">
        <v>32</v>
      </c>
      <c r="S6" s="26">
        <v>33</v>
      </c>
      <c r="T6" s="26">
        <v>61</v>
      </c>
      <c r="U6" s="26">
        <v>72</v>
      </c>
      <c r="V6" s="26">
        <v>71</v>
      </c>
      <c r="W6" s="26">
        <v>73</v>
      </c>
      <c r="X6" s="26">
        <v>133</v>
      </c>
    </row>
    <row r="7" spans="1:24" ht="22.5">
      <c r="A7" s="29" t="s">
        <v>92</v>
      </c>
      <c r="B7" s="30">
        <v>1</v>
      </c>
      <c r="C7" s="31">
        <v>6925</v>
      </c>
      <c r="D7" s="30">
        <v>12</v>
      </c>
      <c r="E7" s="32">
        <v>83100</v>
      </c>
      <c r="F7" s="625" t="s">
        <v>103</v>
      </c>
      <c r="G7" s="33"/>
      <c r="H7" s="33"/>
      <c r="I7" s="33"/>
      <c r="J7" s="33"/>
      <c r="K7" s="33"/>
      <c r="L7" s="33">
        <v>83100</v>
      </c>
      <c r="M7" s="33"/>
      <c r="N7" s="33"/>
      <c r="O7" s="33">
        <v>27000</v>
      </c>
      <c r="P7" s="33"/>
      <c r="Q7" s="33"/>
      <c r="R7" s="33"/>
      <c r="S7" s="33"/>
      <c r="T7" s="33"/>
      <c r="U7" s="34">
        <v>8925</v>
      </c>
      <c r="V7" s="34">
        <v>8925</v>
      </c>
      <c r="W7" s="34">
        <v>200</v>
      </c>
      <c r="X7" s="34"/>
    </row>
    <row r="8" spans="1:24" ht="23.25">
      <c r="A8" s="29" t="s">
        <v>104</v>
      </c>
      <c r="B8" s="30">
        <v>1</v>
      </c>
      <c r="C8" s="31">
        <v>8250</v>
      </c>
      <c r="D8" s="30">
        <v>12</v>
      </c>
      <c r="E8" s="32">
        <v>99000</v>
      </c>
      <c r="F8" s="625" t="s">
        <v>103</v>
      </c>
      <c r="G8" s="34"/>
      <c r="H8" s="34"/>
      <c r="I8" s="34"/>
      <c r="J8" s="34"/>
      <c r="K8" s="34"/>
      <c r="L8" s="33">
        <v>99000</v>
      </c>
      <c r="M8" s="34"/>
      <c r="N8" s="34">
        <v>4500</v>
      </c>
      <c r="O8" s="34">
        <v>27000</v>
      </c>
      <c r="P8" s="34"/>
      <c r="Q8" s="34"/>
      <c r="R8" s="34"/>
      <c r="S8" s="34"/>
      <c r="T8" s="34"/>
      <c r="U8" s="34">
        <v>10625</v>
      </c>
      <c r="V8" s="34">
        <v>10625</v>
      </c>
      <c r="W8" s="34">
        <v>200</v>
      </c>
      <c r="X8" s="34"/>
    </row>
    <row r="9" spans="1:24" ht="23.25">
      <c r="A9" s="29" t="s">
        <v>105</v>
      </c>
      <c r="B9" s="30">
        <v>1</v>
      </c>
      <c r="C9" s="31">
        <v>6000</v>
      </c>
      <c r="D9" s="30">
        <v>12</v>
      </c>
      <c r="E9" s="32">
        <v>72000</v>
      </c>
      <c r="F9" s="625" t="s">
        <v>103</v>
      </c>
      <c r="G9" s="34"/>
      <c r="H9" s="34"/>
      <c r="I9" s="34"/>
      <c r="J9" s="34"/>
      <c r="K9" s="34"/>
      <c r="L9" s="33">
        <v>72000</v>
      </c>
      <c r="M9" s="34"/>
      <c r="N9" s="34"/>
      <c r="O9" s="34">
        <v>21000</v>
      </c>
      <c r="P9" s="34"/>
      <c r="Q9" s="34"/>
      <c r="R9" s="34"/>
      <c r="S9" s="34"/>
      <c r="T9" s="34"/>
      <c r="U9" s="34">
        <v>7500</v>
      </c>
      <c r="V9" s="34">
        <v>7500</v>
      </c>
      <c r="W9" s="34">
        <v>200</v>
      </c>
      <c r="X9" s="34"/>
    </row>
    <row r="10" spans="1:24" ht="22.5">
      <c r="A10" s="29" t="s">
        <v>106</v>
      </c>
      <c r="B10" s="30">
        <v>1</v>
      </c>
      <c r="C10" s="31">
        <v>3700</v>
      </c>
      <c r="D10" s="30">
        <v>12</v>
      </c>
      <c r="E10" s="32">
        <v>44400</v>
      </c>
      <c r="F10" s="625" t="s">
        <v>103</v>
      </c>
      <c r="G10" s="34"/>
      <c r="H10" s="34"/>
      <c r="I10" s="34"/>
      <c r="J10" s="34"/>
      <c r="K10" s="34"/>
      <c r="L10" s="33">
        <v>44400</v>
      </c>
      <c r="M10" s="34"/>
      <c r="N10" s="34"/>
      <c r="O10" s="34">
        <v>21000</v>
      </c>
      <c r="P10" s="34"/>
      <c r="Q10" s="34"/>
      <c r="R10" s="34"/>
      <c r="S10" s="34"/>
      <c r="T10" s="34"/>
      <c r="U10" s="34">
        <v>5200</v>
      </c>
      <c r="V10" s="34">
        <v>5200</v>
      </c>
      <c r="W10" s="34">
        <v>200</v>
      </c>
      <c r="X10" s="34"/>
    </row>
    <row r="11" spans="1:24" ht="22.5">
      <c r="A11" s="29" t="s">
        <v>107</v>
      </c>
      <c r="B11" s="30">
        <v>1</v>
      </c>
      <c r="C11" s="31">
        <v>3700</v>
      </c>
      <c r="D11" s="30">
        <v>12</v>
      </c>
      <c r="E11" s="32">
        <v>44400</v>
      </c>
      <c r="F11" s="625" t="s">
        <v>103</v>
      </c>
      <c r="G11" s="34"/>
      <c r="H11" s="34"/>
      <c r="I11" s="34"/>
      <c r="J11" s="34"/>
      <c r="K11" s="34"/>
      <c r="L11" s="33">
        <v>44400</v>
      </c>
      <c r="M11" s="34"/>
      <c r="N11" s="34"/>
      <c r="O11" s="34">
        <v>21000</v>
      </c>
      <c r="P11" s="34"/>
      <c r="Q11" s="34"/>
      <c r="R11" s="34"/>
      <c r="S11" s="34"/>
      <c r="T11" s="34"/>
      <c r="U11" s="34">
        <v>5200</v>
      </c>
      <c r="V11" s="34">
        <v>5200</v>
      </c>
      <c r="W11" s="34">
        <v>200</v>
      </c>
      <c r="X11" s="34"/>
    </row>
    <row r="12" spans="1:24" ht="22.5">
      <c r="A12" s="29" t="s">
        <v>55</v>
      </c>
      <c r="B12" s="30">
        <v>1</v>
      </c>
      <c r="C12" s="31">
        <v>3300</v>
      </c>
      <c r="D12" s="30">
        <v>12</v>
      </c>
      <c r="E12" s="32">
        <v>39600</v>
      </c>
      <c r="F12" s="625" t="s">
        <v>103</v>
      </c>
      <c r="G12" s="34"/>
      <c r="H12" s="34"/>
      <c r="I12" s="34"/>
      <c r="J12" s="34"/>
      <c r="K12" s="34"/>
      <c r="L12" s="33">
        <v>39600</v>
      </c>
      <c r="M12" s="34"/>
      <c r="N12" s="34"/>
      <c r="O12" s="34">
        <v>21000</v>
      </c>
      <c r="P12" s="34"/>
      <c r="Q12" s="34"/>
      <c r="R12" s="34"/>
      <c r="S12" s="34"/>
      <c r="T12" s="34"/>
      <c r="U12" s="34">
        <v>4800</v>
      </c>
      <c r="V12" s="34">
        <v>4800</v>
      </c>
      <c r="W12" s="34">
        <v>200</v>
      </c>
      <c r="X12" s="34"/>
    </row>
    <row r="13" spans="1:24" ht="22.5">
      <c r="A13" s="29" t="s">
        <v>52</v>
      </c>
      <c r="B13" s="30">
        <v>1</v>
      </c>
      <c r="C13" s="31">
        <v>4500</v>
      </c>
      <c r="D13" s="30">
        <v>12</v>
      </c>
      <c r="E13" s="32">
        <v>54000</v>
      </c>
      <c r="F13" s="625" t="s">
        <v>103</v>
      </c>
      <c r="G13" s="34"/>
      <c r="H13" s="34"/>
      <c r="I13" s="34"/>
      <c r="J13" s="34"/>
      <c r="K13" s="34"/>
      <c r="L13" s="33">
        <v>54000</v>
      </c>
      <c r="M13" s="34"/>
      <c r="N13" s="34"/>
      <c r="O13" s="34">
        <v>21000</v>
      </c>
      <c r="P13" s="34"/>
      <c r="Q13" s="34"/>
      <c r="R13" s="34"/>
      <c r="S13" s="34"/>
      <c r="T13" s="34"/>
      <c r="U13" s="34">
        <v>6000</v>
      </c>
      <c r="V13" s="34">
        <v>6000</v>
      </c>
      <c r="W13" s="34">
        <v>200</v>
      </c>
      <c r="X13" s="34"/>
    </row>
    <row r="14" spans="1:24" ht="22.5">
      <c r="A14" s="29" t="s">
        <v>108</v>
      </c>
      <c r="B14" s="30">
        <v>1</v>
      </c>
      <c r="C14" s="31">
        <v>4500</v>
      </c>
      <c r="D14" s="30">
        <v>12</v>
      </c>
      <c r="E14" s="32">
        <v>54000</v>
      </c>
      <c r="F14" s="625" t="s">
        <v>103</v>
      </c>
      <c r="G14" s="34"/>
      <c r="H14" s="34"/>
      <c r="I14" s="34"/>
      <c r="J14" s="34"/>
      <c r="K14" s="34"/>
      <c r="L14" s="33">
        <v>54000</v>
      </c>
      <c r="M14" s="34"/>
      <c r="N14" s="34"/>
      <c r="O14" s="34">
        <v>21000</v>
      </c>
      <c r="P14" s="34"/>
      <c r="Q14" s="34"/>
      <c r="R14" s="34"/>
      <c r="S14" s="34"/>
      <c r="T14" s="34"/>
      <c r="U14" s="34">
        <v>6000</v>
      </c>
      <c r="V14" s="34">
        <v>6000</v>
      </c>
      <c r="W14" s="34">
        <v>200</v>
      </c>
      <c r="X14" s="34"/>
    </row>
    <row r="15" spans="1:24" ht="22.5">
      <c r="A15" s="29" t="s">
        <v>109</v>
      </c>
      <c r="B15" s="30">
        <v>1</v>
      </c>
      <c r="C15" s="31">
        <v>3700</v>
      </c>
      <c r="D15" s="30">
        <v>12</v>
      </c>
      <c r="E15" s="32">
        <v>44400</v>
      </c>
      <c r="F15" s="625" t="s">
        <v>103</v>
      </c>
      <c r="G15" s="34"/>
      <c r="H15" s="34"/>
      <c r="I15" s="34"/>
      <c r="J15" s="34"/>
      <c r="K15" s="34"/>
      <c r="L15" s="33">
        <v>44400</v>
      </c>
      <c r="M15" s="34"/>
      <c r="N15" s="34"/>
      <c r="O15" s="34">
        <v>21000</v>
      </c>
      <c r="P15" s="34"/>
      <c r="Q15" s="34"/>
      <c r="R15" s="34"/>
      <c r="S15" s="34"/>
      <c r="T15" s="34"/>
      <c r="U15" s="34">
        <v>5200</v>
      </c>
      <c r="V15" s="34">
        <v>5200</v>
      </c>
      <c r="W15" s="34">
        <v>200</v>
      </c>
      <c r="X15" s="34"/>
    </row>
    <row r="16" spans="1:24" ht="22.5">
      <c r="A16" s="29" t="s">
        <v>110</v>
      </c>
      <c r="B16" s="30">
        <v>1</v>
      </c>
      <c r="C16" s="31">
        <v>2600</v>
      </c>
      <c r="D16" s="30">
        <v>12</v>
      </c>
      <c r="E16" s="32">
        <v>31200</v>
      </c>
      <c r="F16" s="625" t="s">
        <v>103</v>
      </c>
      <c r="G16" s="34"/>
      <c r="H16" s="34"/>
      <c r="I16" s="34"/>
      <c r="J16" s="34"/>
      <c r="K16" s="34"/>
      <c r="L16" s="33">
        <v>31200</v>
      </c>
      <c r="M16" s="34"/>
      <c r="N16" s="34"/>
      <c r="O16" s="34">
        <v>21000</v>
      </c>
      <c r="P16" s="34"/>
      <c r="Q16" s="34"/>
      <c r="R16" s="34"/>
      <c r="S16" s="34"/>
      <c r="T16" s="34"/>
      <c r="U16" s="34">
        <v>4100</v>
      </c>
      <c r="V16" s="34">
        <v>4100</v>
      </c>
      <c r="W16" s="34">
        <v>200</v>
      </c>
      <c r="X16" s="34"/>
    </row>
    <row r="17" spans="1:24" ht="22.5">
      <c r="A17" s="29" t="s">
        <v>111</v>
      </c>
      <c r="B17" s="30">
        <v>1</v>
      </c>
      <c r="C17" s="31">
        <v>2600</v>
      </c>
      <c r="D17" s="30">
        <v>12</v>
      </c>
      <c r="E17" s="32">
        <v>31200</v>
      </c>
      <c r="F17" s="625" t="s">
        <v>103</v>
      </c>
      <c r="G17" s="34"/>
      <c r="H17" s="34"/>
      <c r="I17" s="34"/>
      <c r="J17" s="34"/>
      <c r="K17" s="34"/>
      <c r="L17" s="33">
        <v>31200</v>
      </c>
      <c r="M17" s="34"/>
      <c r="N17" s="34"/>
      <c r="O17" s="34">
        <v>21000</v>
      </c>
      <c r="P17" s="34"/>
      <c r="Q17" s="34"/>
      <c r="R17" s="34"/>
      <c r="S17" s="34"/>
      <c r="T17" s="34"/>
      <c r="U17" s="34">
        <v>4100</v>
      </c>
      <c r="V17" s="34">
        <v>4100</v>
      </c>
      <c r="W17" s="34">
        <v>200</v>
      </c>
      <c r="X17" s="34"/>
    </row>
    <row r="18" spans="1:24" ht="22.5">
      <c r="A18" s="29" t="s">
        <v>112</v>
      </c>
      <c r="B18" s="30">
        <v>1</v>
      </c>
      <c r="C18" s="36">
        <v>4500</v>
      </c>
      <c r="D18" s="30">
        <v>12</v>
      </c>
      <c r="E18" s="32">
        <v>54000</v>
      </c>
      <c r="F18" s="625" t="s">
        <v>103</v>
      </c>
      <c r="G18" s="34"/>
      <c r="H18" s="34"/>
      <c r="I18" s="34"/>
      <c r="J18" s="34"/>
      <c r="K18" s="34"/>
      <c r="L18" s="33">
        <v>54000</v>
      </c>
      <c r="M18" s="34"/>
      <c r="N18" s="34"/>
      <c r="O18" s="34">
        <v>21000</v>
      </c>
      <c r="P18" s="34"/>
      <c r="Q18" s="34"/>
      <c r="R18" s="34"/>
      <c r="S18" s="34"/>
      <c r="T18" s="34"/>
      <c r="U18" s="34">
        <v>6000</v>
      </c>
      <c r="V18" s="34">
        <v>6000</v>
      </c>
      <c r="W18" s="34">
        <v>200</v>
      </c>
      <c r="X18" s="34"/>
    </row>
    <row r="19" spans="1:24" ht="22.5">
      <c r="A19" s="29" t="s">
        <v>112</v>
      </c>
      <c r="B19" s="30">
        <v>1</v>
      </c>
      <c r="C19" s="31">
        <v>4500</v>
      </c>
      <c r="D19" s="30">
        <v>12</v>
      </c>
      <c r="E19" s="32">
        <v>54000</v>
      </c>
      <c r="F19" s="625" t="s">
        <v>103</v>
      </c>
      <c r="G19" s="34"/>
      <c r="H19" s="34"/>
      <c r="I19" s="34"/>
      <c r="J19" s="34"/>
      <c r="K19" s="34"/>
      <c r="L19" s="33">
        <v>54000</v>
      </c>
      <c r="M19" s="34"/>
      <c r="N19" s="34"/>
      <c r="O19" s="34">
        <v>21000</v>
      </c>
      <c r="P19" s="34"/>
      <c r="Q19" s="34"/>
      <c r="R19" s="34"/>
      <c r="S19" s="34"/>
      <c r="T19" s="34"/>
      <c r="U19" s="34">
        <v>6000</v>
      </c>
      <c r="V19" s="34">
        <v>6000</v>
      </c>
      <c r="W19" s="34">
        <v>200</v>
      </c>
      <c r="X19" s="34"/>
    </row>
    <row r="20" spans="1:24" ht="22.5">
      <c r="A20" s="45" t="s">
        <v>59</v>
      </c>
      <c r="B20" s="30">
        <v>1</v>
      </c>
      <c r="C20" s="31">
        <v>25000</v>
      </c>
      <c r="D20" s="30">
        <v>12</v>
      </c>
      <c r="E20" s="32">
        <v>300000</v>
      </c>
      <c r="F20" s="625" t="s">
        <v>113</v>
      </c>
      <c r="G20" s="33"/>
      <c r="H20" s="33"/>
      <c r="I20" s="33"/>
      <c r="J20" s="33"/>
      <c r="K20" s="33"/>
      <c r="L20" s="33"/>
      <c r="M20" s="33">
        <v>300000</v>
      </c>
      <c r="N20" s="37">
        <v>4500</v>
      </c>
      <c r="O20" s="38">
        <v>3000</v>
      </c>
      <c r="P20" s="33"/>
      <c r="Q20" s="33"/>
      <c r="R20" s="33"/>
      <c r="S20" s="33"/>
      <c r="T20" s="33"/>
      <c r="U20" s="34">
        <v>25375</v>
      </c>
      <c r="V20" s="34">
        <v>25375</v>
      </c>
      <c r="W20" s="34">
        <v>200</v>
      </c>
      <c r="X20" s="40"/>
    </row>
    <row r="21" spans="1:24" ht="22.5">
      <c r="A21" s="45" t="s">
        <v>61</v>
      </c>
      <c r="B21" s="30">
        <v>1</v>
      </c>
      <c r="C21" s="31">
        <v>20000</v>
      </c>
      <c r="D21" s="30">
        <v>12</v>
      </c>
      <c r="E21" s="32">
        <v>240000</v>
      </c>
      <c r="F21" s="625" t="s">
        <v>113</v>
      </c>
      <c r="G21" s="34"/>
      <c r="H21" s="34"/>
      <c r="I21" s="34"/>
      <c r="J21" s="34"/>
      <c r="K21" s="34"/>
      <c r="L21" s="33"/>
      <c r="M21" s="33">
        <v>240000</v>
      </c>
      <c r="N21" s="37">
        <v>4500</v>
      </c>
      <c r="O21" s="38">
        <v>3000</v>
      </c>
      <c r="P21" s="33"/>
      <c r="Q21" s="34"/>
      <c r="R21" s="34"/>
      <c r="S21" s="34"/>
      <c r="T21" s="34"/>
      <c r="U21" s="34">
        <v>20375</v>
      </c>
      <c r="V21" s="34">
        <v>20375</v>
      </c>
      <c r="W21" s="34">
        <v>200</v>
      </c>
      <c r="X21" s="40"/>
    </row>
    <row r="22" spans="1:24" ht="22.5">
      <c r="A22" s="45" t="s">
        <v>61</v>
      </c>
      <c r="B22" s="30">
        <v>1</v>
      </c>
      <c r="C22" s="31">
        <v>16000</v>
      </c>
      <c r="D22" s="30">
        <v>12</v>
      </c>
      <c r="E22" s="32">
        <v>192000</v>
      </c>
      <c r="F22" s="625" t="s">
        <v>113</v>
      </c>
      <c r="G22" s="34"/>
      <c r="H22" s="34"/>
      <c r="I22" s="34"/>
      <c r="J22" s="34"/>
      <c r="K22" s="34"/>
      <c r="L22" s="33"/>
      <c r="M22" s="33">
        <v>192000</v>
      </c>
      <c r="N22" s="37">
        <v>4500</v>
      </c>
      <c r="O22" s="38">
        <v>3000</v>
      </c>
      <c r="P22" s="33"/>
      <c r="Q22" s="34"/>
      <c r="R22" s="34"/>
      <c r="S22" s="34"/>
      <c r="T22" s="34"/>
      <c r="U22" s="34">
        <v>16375</v>
      </c>
      <c r="V22" s="34">
        <v>16375</v>
      </c>
      <c r="W22" s="34">
        <v>200</v>
      </c>
      <c r="X22" s="40"/>
    </row>
    <row r="23" spans="1:24" ht="22.5">
      <c r="A23" s="45" t="s">
        <v>59</v>
      </c>
      <c r="B23" s="30">
        <v>1</v>
      </c>
      <c r="C23" s="31">
        <v>17250</v>
      </c>
      <c r="D23" s="30">
        <v>12</v>
      </c>
      <c r="E23" s="32">
        <v>207000</v>
      </c>
      <c r="F23" s="625" t="s">
        <v>113</v>
      </c>
      <c r="G23" s="34"/>
      <c r="H23" s="34"/>
      <c r="I23" s="34"/>
      <c r="J23" s="34"/>
      <c r="K23" s="34"/>
      <c r="L23" s="33"/>
      <c r="M23" s="33">
        <v>207000</v>
      </c>
      <c r="N23" s="37">
        <v>4500</v>
      </c>
      <c r="O23" s="38">
        <v>3000</v>
      </c>
      <c r="P23" s="33"/>
      <c r="Q23" s="34"/>
      <c r="R23" s="34"/>
      <c r="S23" s="34"/>
      <c r="T23" s="34"/>
      <c r="U23" s="34">
        <v>17625</v>
      </c>
      <c r="V23" s="34">
        <v>17625</v>
      </c>
      <c r="W23" s="34">
        <v>200</v>
      </c>
      <c r="X23" s="40"/>
    </row>
    <row r="24" spans="1:24" ht="22.5">
      <c r="A24" s="45" t="s">
        <v>59</v>
      </c>
      <c r="B24" s="30">
        <v>1</v>
      </c>
      <c r="C24" s="31">
        <v>17250</v>
      </c>
      <c r="D24" s="30">
        <v>12</v>
      </c>
      <c r="E24" s="32">
        <v>207000</v>
      </c>
      <c r="F24" s="625" t="s">
        <v>113</v>
      </c>
      <c r="G24" s="34"/>
      <c r="H24" s="34"/>
      <c r="I24" s="34"/>
      <c r="J24" s="34"/>
      <c r="K24" s="34"/>
      <c r="L24" s="33"/>
      <c r="M24" s="33">
        <v>207000</v>
      </c>
      <c r="N24" s="37">
        <v>4500</v>
      </c>
      <c r="O24" s="38">
        <v>3000</v>
      </c>
      <c r="P24" s="33"/>
      <c r="Q24" s="34"/>
      <c r="R24" s="34"/>
      <c r="S24" s="34"/>
      <c r="T24" s="34"/>
      <c r="U24" s="34">
        <v>17625</v>
      </c>
      <c r="V24" s="34">
        <v>17625</v>
      </c>
      <c r="W24" s="34">
        <v>200</v>
      </c>
      <c r="X24" s="40"/>
    </row>
    <row r="25" spans="1:24" ht="22.5">
      <c r="A25" s="45" t="s">
        <v>59</v>
      </c>
      <c r="B25" s="30">
        <v>1</v>
      </c>
      <c r="C25" s="31">
        <v>17250</v>
      </c>
      <c r="D25" s="30">
        <v>12</v>
      </c>
      <c r="E25" s="32">
        <v>207000</v>
      </c>
      <c r="F25" s="625" t="s">
        <v>113</v>
      </c>
      <c r="G25" s="34"/>
      <c r="H25" s="34"/>
      <c r="I25" s="34"/>
      <c r="J25" s="34"/>
      <c r="K25" s="34"/>
      <c r="L25" s="33"/>
      <c r="M25" s="33">
        <v>207000</v>
      </c>
      <c r="N25" s="37">
        <v>4500</v>
      </c>
      <c r="O25" s="38">
        <v>3000</v>
      </c>
      <c r="P25" s="33"/>
      <c r="Q25" s="34"/>
      <c r="R25" s="34"/>
      <c r="S25" s="34"/>
      <c r="T25" s="34"/>
      <c r="U25" s="34">
        <v>17625</v>
      </c>
      <c r="V25" s="34">
        <v>17625</v>
      </c>
      <c r="W25" s="34">
        <v>200</v>
      </c>
      <c r="X25" s="40"/>
    </row>
    <row r="26" spans="1:24" ht="22.5">
      <c r="A26" s="45" t="s">
        <v>59</v>
      </c>
      <c r="B26" s="30">
        <v>1</v>
      </c>
      <c r="C26" s="31">
        <v>17250</v>
      </c>
      <c r="D26" s="30">
        <v>12</v>
      </c>
      <c r="E26" s="32">
        <v>207000</v>
      </c>
      <c r="F26" s="625" t="s">
        <v>113</v>
      </c>
      <c r="G26" s="34"/>
      <c r="H26" s="34"/>
      <c r="I26" s="34"/>
      <c r="J26" s="34"/>
      <c r="K26" s="34"/>
      <c r="L26" s="33"/>
      <c r="M26" s="33">
        <v>207000</v>
      </c>
      <c r="N26" s="37">
        <v>4500</v>
      </c>
      <c r="O26" s="38">
        <v>3000</v>
      </c>
      <c r="P26" s="33"/>
      <c r="Q26" s="34"/>
      <c r="R26" s="34"/>
      <c r="S26" s="34"/>
      <c r="T26" s="34"/>
      <c r="U26" s="34">
        <v>17625</v>
      </c>
      <c r="V26" s="34">
        <v>17625</v>
      </c>
      <c r="W26" s="34">
        <v>200</v>
      </c>
      <c r="X26" s="40"/>
    </row>
    <row r="27" spans="1:24" ht="22.5">
      <c r="A27" s="45" t="s">
        <v>59</v>
      </c>
      <c r="B27" s="30">
        <v>1</v>
      </c>
      <c r="C27" s="31">
        <v>17250</v>
      </c>
      <c r="D27" s="30">
        <v>12</v>
      </c>
      <c r="E27" s="32">
        <v>207000</v>
      </c>
      <c r="F27" s="625" t="s">
        <v>113</v>
      </c>
      <c r="G27" s="34"/>
      <c r="H27" s="34"/>
      <c r="I27" s="34"/>
      <c r="J27" s="34"/>
      <c r="K27" s="34"/>
      <c r="L27" s="33"/>
      <c r="M27" s="33">
        <v>207000</v>
      </c>
      <c r="N27" s="37">
        <v>4500</v>
      </c>
      <c r="O27" s="38">
        <v>3000</v>
      </c>
      <c r="P27" s="33"/>
      <c r="Q27" s="34"/>
      <c r="R27" s="34"/>
      <c r="S27" s="34"/>
      <c r="T27" s="34"/>
      <c r="U27" s="34">
        <v>17625</v>
      </c>
      <c r="V27" s="34">
        <v>17625</v>
      </c>
      <c r="W27" s="34">
        <v>200</v>
      </c>
      <c r="X27" s="40"/>
    </row>
    <row r="28" spans="1:24" ht="22.5">
      <c r="A28" s="45" t="s">
        <v>59</v>
      </c>
      <c r="B28" s="30">
        <v>1</v>
      </c>
      <c r="C28" s="31">
        <v>17250</v>
      </c>
      <c r="D28" s="30">
        <v>12</v>
      </c>
      <c r="E28" s="32">
        <v>207000</v>
      </c>
      <c r="F28" s="625" t="s">
        <v>113</v>
      </c>
      <c r="G28" s="34"/>
      <c r="H28" s="34"/>
      <c r="I28" s="34"/>
      <c r="J28" s="34"/>
      <c r="K28" s="34"/>
      <c r="L28" s="33"/>
      <c r="M28" s="33">
        <v>207000</v>
      </c>
      <c r="N28" s="37">
        <v>4500</v>
      </c>
      <c r="O28" s="38">
        <v>3000</v>
      </c>
      <c r="P28" s="33"/>
      <c r="Q28" s="34"/>
      <c r="R28" s="34"/>
      <c r="S28" s="34"/>
      <c r="T28" s="34"/>
      <c r="U28" s="34">
        <v>17625</v>
      </c>
      <c r="V28" s="34">
        <v>17625</v>
      </c>
      <c r="W28" s="34">
        <v>200</v>
      </c>
      <c r="X28" s="40"/>
    </row>
    <row r="29" spans="1:24" ht="22.5">
      <c r="A29" s="45" t="s">
        <v>59</v>
      </c>
      <c r="B29" s="30">
        <v>1</v>
      </c>
      <c r="C29" s="31">
        <v>17250</v>
      </c>
      <c r="D29" s="30">
        <v>12</v>
      </c>
      <c r="E29" s="32">
        <v>207000</v>
      </c>
      <c r="F29" s="625" t="s">
        <v>113</v>
      </c>
      <c r="G29" s="34"/>
      <c r="H29" s="34"/>
      <c r="I29" s="34"/>
      <c r="J29" s="34"/>
      <c r="K29" s="34"/>
      <c r="L29" s="33"/>
      <c r="M29" s="33">
        <v>207000</v>
      </c>
      <c r="N29" s="37">
        <v>4500</v>
      </c>
      <c r="O29" s="38">
        <v>3000</v>
      </c>
      <c r="P29" s="33"/>
      <c r="Q29" s="34"/>
      <c r="R29" s="34"/>
      <c r="S29" s="34"/>
      <c r="T29" s="34"/>
      <c r="U29" s="34">
        <v>17625</v>
      </c>
      <c r="V29" s="34">
        <v>17625</v>
      </c>
      <c r="W29" s="34">
        <v>200</v>
      </c>
      <c r="X29" s="40"/>
    </row>
    <row r="30" spans="1:24" ht="22.5">
      <c r="A30" s="45" t="s">
        <v>59</v>
      </c>
      <c r="B30" s="30">
        <v>1</v>
      </c>
      <c r="C30" s="31">
        <v>17250</v>
      </c>
      <c r="D30" s="30">
        <v>12</v>
      </c>
      <c r="E30" s="32">
        <v>207000</v>
      </c>
      <c r="F30" s="625" t="s">
        <v>113</v>
      </c>
      <c r="G30" s="34"/>
      <c r="H30" s="34"/>
      <c r="I30" s="34"/>
      <c r="J30" s="34"/>
      <c r="K30" s="34"/>
      <c r="L30" s="33"/>
      <c r="M30" s="33">
        <v>207000</v>
      </c>
      <c r="N30" s="37">
        <v>4500</v>
      </c>
      <c r="O30" s="38">
        <v>3000</v>
      </c>
      <c r="P30" s="33"/>
      <c r="Q30" s="34"/>
      <c r="R30" s="34"/>
      <c r="S30" s="34"/>
      <c r="T30" s="34"/>
      <c r="U30" s="34">
        <v>17625</v>
      </c>
      <c r="V30" s="34">
        <v>17625</v>
      </c>
      <c r="W30" s="34">
        <v>200</v>
      </c>
      <c r="X30" s="40"/>
    </row>
    <row r="31" spans="1:24" ht="22.5">
      <c r="A31" s="45" t="s">
        <v>59</v>
      </c>
      <c r="B31" s="30">
        <v>1</v>
      </c>
      <c r="C31" s="31">
        <v>17250</v>
      </c>
      <c r="D31" s="30">
        <v>12</v>
      </c>
      <c r="E31" s="32">
        <v>207000</v>
      </c>
      <c r="F31" s="625" t="s">
        <v>113</v>
      </c>
      <c r="G31" s="34"/>
      <c r="H31" s="34"/>
      <c r="I31" s="34"/>
      <c r="J31" s="34"/>
      <c r="K31" s="34"/>
      <c r="L31" s="33"/>
      <c r="M31" s="33">
        <v>207000</v>
      </c>
      <c r="N31" s="37">
        <v>4500</v>
      </c>
      <c r="O31" s="38">
        <v>3000</v>
      </c>
      <c r="P31" s="33"/>
      <c r="Q31" s="34"/>
      <c r="R31" s="34"/>
      <c r="S31" s="34"/>
      <c r="T31" s="34"/>
      <c r="U31" s="34">
        <v>17625</v>
      </c>
      <c r="V31" s="34">
        <v>17625</v>
      </c>
      <c r="W31" s="34">
        <v>200</v>
      </c>
      <c r="X31" s="40"/>
    </row>
    <row r="32" spans="1:24" ht="22.5">
      <c r="A32" s="45" t="s">
        <v>59</v>
      </c>
      <c r="B32" s="30">
        <v>1</v>
      </c>
      <c r="C32" s="31">
        <v>17250</v>
      </c>
      <c r="D32" s="30">
        <v>12</v>
      </c>
      <c r="E32" s="32">
        <v>207000</v>
      </c>
      <c r="F32" s="625" t="s">
        <v>113</v>
      </c>
      <c r="G32" s="34"/>
      <c r="H32" s="34"/>
      <c r="I32" s="34"/>
      <c r="J32" s="34"/>
      <c r="K32" s="34"/>
      <c r="L32" s="33"/>
      <c r="M32" s="33">
        <v>207000</v>
      </c>
      <c r="N32" s="37">
        <v>4500</v>
      </c>
      <c r="O32" s="38">
        <v>3000</v>
      </c>
      <c r="P32" s="33"/>
      <c r="Q32" s="34"/>
      <c r="R32" s="34"/>
      <c r="S32" s="34"/>
      <c r="T32" s="34"/>
      <c r="U32" s="34">
        <v>17625</v>
      </c>
      <c r="V32" s="34">
        <v>17625</v>
      </c>
      <c r="W32" s="34">
        <v>200</v>
      </c>
      <c r="X32" s="40"/>
    </row>
    <row r="33" spans="1:24" ht="22.5">
      <c r="A33" s="45" t="s">
        <v>59</v>
      </c>
      <c r="B33" s="30">
        <v>1</v>
      </c>
      <c r="C33" s="31">
        <v>17250</v>
      </c>
      <c r="D33" s="30">
        <v>12</v>
      </c>
      <c r="E33" s="32">
        <v>207000</v>
      </c>
      <c r="F33" s="625" t="s">
        <v>113</v>
      </c>
      <c r="G33" s="33"/>
      <c r="H33" s="33"/>
      <c r="I33" s="33"/>
      <c r="J33" s="33"/>
      <c r="K33" s="33"/>
      <c r="L33" s="33"/>
      <c r="M33" s="33">
        <v>207000</v>
      </c>
      <c r="N33" s="37">
        <v>4500</v>
      </c>
      <c r="O33" s="38">
        <v>3000</v>
      </c>
      <c r="P33" s="33"/>
      <c r="Q33" s="33"/>
      <c r="R33" s="33"/>
      <c r="S33" s="33"/>
      <c r="T33" s="33"/>
      <c r="U33" s="34">
        <v>17625</v>
      </c>
      <c r="V33" s="34">
        <v>17625</v>
      </c>
      <c r="W33" s="34">
        <v>200</v>
      </c>
      <c r="X33" s="40"/>
    </row>
    <row r="34" spans="1:24" ht="22.5">
      <c r="A34" s="45" t="s">
        <v>59</v>
      </c>
      <c r="B34" s="30">
        <v>1</v>
      </c>
      <c r="C34" s="31">
        <v>17250</v>
      </c>
      <c r="D34" s="30">
        <v>12</v>
      </c>
      <c r="E34" s="32">
        <v>207000</v>
      </c>
      <c r="F34" s="625" t="s">
        <v>113</v>
      </c>
      <c r="G34" s="34"/>
      <c r="H34" s="34"/>
      <c r="I34" s="34"/>
      <c r="J34" s="34"/>
      <c r="K34" s="34"/>
      <c r="L34" s="33"/>
      <c r="M34" s="33">
        <v>207000</v>
      </c>
      <c r="N34" s="37">
        <v>4500</v>
      </c>
      <c r="O34" s="38">
        <v>3000</v>
      </c>
      <c r="P34" s="33"/>
      <c r="Q34" s="34"/>
      <c r="R34" s="34"/>
      <c r="S34" s="34"/>
      <c r="T34" s="34"/>
      <c r="U34" s="34">
        <v>17625</v>
      </c>
      <c r="V34" s="34">
        <v>17625</v>
      </c>
      <c r="W34" s="34">
        <v>200</v>
      </c>
      <c r="X34" s="40"/>
    </row>
    <row r="35" spans="1:24" ht="22.5">
      <c r="A35" s="45" t="s">
        <v>48</v>
      </c>
      <c r="B35" s="30">
        <v>1</v>
      </c>
      <c r="C35" s="31">
        <v>13000</v>
      </c>
      <c r="D35" s="30">
        <v>12</v>
      </c>
      <c r="E35" s="32">
        <v>156000</v>
      </c>
      <c r="F35" s="625" t="s">
        <v>113</v>
      </c>
      <c r="G35" s="34"/>
      <c r="H35" s="34"/>
      <c r="I35" s="34"/>
      <c r="J35" s="34"/>
      <c r="K35" s="34"/>
      <c r="L35" s="33"/>
      <c r="M35" s="33">
        <v>156000</v>
      </c>
      <c r="N35" s="37">
        <v>4500</v>
      </c>
      <c r="O35" s="38">
        <v>3000</v>
      </c>
      <c r="P35" s="33"/>
      <c r="Q35" s="34"/>
      <c r="R35" s="34"/>
      <c r="S35" s="34"/>
      <c r="T35" s="34"/>
      <c r="U35" s="34">
        <v>13375</v>
      </c>
      <c r="V35" s="34">
        <v>13375</v>
      </c>
      <c r="W35" s="34">
        <v>200</v>
      </c>
      <c r="X35" s="40"/>
    </row>
    <row r="36" spans="1:24" ht="22.5">
      <c r="A36" s="45" t="s">
        <v>114</v>
      </c>
      <c r="B36" s="30">
        <v>1</v>
      </c>
      <c r="C36" s="31">
        <v>11000</v>
      </c>
      <c r="D36" s="30">
        <v>12</v>
      </c>
      <c r="E36" s="32">
        <v>132000</v>
      </c>
      <c r="F36" s="625" t="s">
        <v>113</v>
      </c>
      <c r="G36" s="34"/>
      <c r="H36" s="34"/>
      <c r="I36" s="34"/>
      <c r="J36" s="34"/>
      <c r="K36" s="34"/>
      <c r="L36" s="33"/>
      <c r="M36" s="33">
        <v>132000</v>
      </c>
      <c r="N36" s="37">
        <v>4500</v>
      </c>
      <c r="O36" s="38">
        <v>3000</v>
      </c>
      <c r="P36" s="33"/>
      <c r="Q36" s="34"/>
      <c r="R36" s="34"/>
      <c r="S36" s="34"/>
      <c r="T36" s="34"/>
      <c r="U36" s="34">
        <v>11375</v>
      </c>
      <c r="V36" s="34">
        <v>11375</v>
      </c>
      <c r="W36" s="34">
        <v>200</v>
      </c>
      <c r="X36" s="40"/>
    </row>
    <row r="37" spans="1:24" ht="22.5">
      <c r="A37" s="45" t="s">
        <v>114</v>
      </c>
      <c r="B37" s="30">
        <v>1</v>
      </c>
      <c r="C37" s="31">
        <v>11000</v>
      </c>
      <c r="D37" s="30">
        <v>12</v>
      </c>
      <c r="E37" s="32">
        <v>132000</v>
      </c>
      <c r="F37" s="625" t="s">
        <v>113</v>
      </c>
      <c r="G37" s="34"/>
      <c r="H37" s="34"/>
      <c r="I37" s="34"/>
      <c r="J37" s="34"/>
      <c r="K37" s="34"/>
      <c r="L37" s="33"/>
      <c r="M37" s="33">
        <v>132000</v>
      </c>
      <c r="N37" s="37">
        <v>4500</v>
      </c>
      <c r="O37" s="38">
        <v>3000</v>
      </c>
      <c r="P37" s="33"/>
      <c r="Q37" s="34"/>
      <c r="R37" s="34"/>
      <c r="S37" s="34"/>
      <c r="T37" s="34"/>
      <c r="U37" s="34">
        <v>11375</v>
      </c>
      <c r="V37" s="34">
        <v>11375</v>
      </c>
      <c r="W37" s="34">
        <v>200</v>
      </c>
      <c r="X37" s="40"/>
    </row>
    <row r="38" spans="1:24" ht="23.25">
      <c r="A38" s="29" t="s">
        <v>115</v>
      </c>
      <c r="B38" s="30">
        <v>1</v>
      </c>
      <c r="C38" s="41">
        <v>5500</v>
      </c>
      <c r="D38" s="30">
        <v>12</v>
      </c>
      <c r="E38" s="32">
        <v>66000</v>
      </c>
      <c r="F38" s="625" t="s">
        <v>116</v>
      </c>
      <c r="G38" s="34"/>
      <c r="H38" s="34"/>
      <c r="I38" s="34"/>
      <c r="J38" s="34"/>
      <c r="K38" s="34"/>
      <c r="L38" s="33"/>
      <c r="M38" s="34"/>
      <c r="N38" s="34"/>
      <c r="O38" s="34"/>
      <c r="P38" s="33">
        <v>66000</v>
      </c>
      <c r="Q38" s="34"/>
      <c r="R38" s="34"/>
      <c r="S38" s="34"/>
      <c r="T38" s="34"/>
      <c r="U38" s="34"/>
      <c r="V38" s="34"/>
      <c r="W38" s="34"/>
      <c r="X38" s="34"/>
    </row>
    <row r="39" spans="1:24" ht="23.25">
      <c r="A39" s="29" t="s">
        <v>117</v>
      </c>
      <c r="B39" s="30">
        <v>1</v>
      </c>
      <c r="C39" s="41">
        <v>7500</v>
      </c>
      <c r="D39" s="30">
        <v>12</v>
      </c>
      <c r="E39" s="32">
        <v>90000</v>
      </c>
      <c r="F39" s="625" t="s">
        <v>116</v>
      </c>
      <c r="G39" s="34"/>
      <c r="H39" s="34"/>
      <c r="I39" s="34"/>
      <c r="J39" s="34"/>
      <c r="K39" s="34"/>
      <c r="L39" s="33"/>
      <c r="M39" s="34"/>
      <c r="N39" s="34"/>
      <c r="O39" s="34"/>
      <c r="P39" s="33">
        <v>90000</v>
      </c>
      <c r="Q39" s="34"/>
      <c r="R39" s="34"/>
      <c r="S39" s="34"/>
      <c r="T39" s="34"/>
      <c r="U39" s="34"/>
      <c r="V39" s="34"/>
      <c r="W39" s="34"/>
      <c r="X39" s="34"/>
    </row>
    <row r="40" spans="1:24" ht="23.25">
      <c r="A40" s="29" t="s">
        <v>118</v>
      </c>
      <c r="B40" s="30">
        <v>1</v>
      </c>
      <c r="C40" s="41">
        <v>4500</v>
      </c>
      <c r="D40" s="30">
        <v>12</v>
      </c>
      <c r="E40" s="32">
        <v>54000</v>
      </c>
      <c r="F40" s="625" t="s">
        <v>116</v>
      </c>
      <c r="G40" s="34"/>
      <c r="H40" s="34"/>
      <c r="I40" s="34"/>
      <c r="J40" s="34"/>
      <c r="K40" s="34"/>
      <c r="L40" s="33"/>
      <c r="M40" s="34"/>
      <c r="N40" s="34"/>
      <c r="O40" s="34"/>
      <c r="P40" s="33">
        <v>54000</v>
      </c>
      <c r="Q40" s="34"/>
      <c r="R40" s="34"/>
      <c r="S40" s="34"/>
      <c r="T40" s="34"/>
      <c r="U40" s="34"/>
      <c r="V40" s="34"/>
      <c r="W40" s="34"/>
      <c r="X40" s="34"/>
    </row>
    <row r="41" spans="1:24" ht="23.25">
      <c r="A41" s="29" t="s">
        <v>119</v>
      </c>
      <c r="B41" s="30">
        <v>1</v>
      </c>
      <c r="C41" s="41">
        <v>6000</v>
      </c>
      <c r="D41" s="30">
        <v>12</v>
      </c>
      <c r="E41" s="32">
        <v>72000</v>
      </c>
      <c r="F41" s="625" t="s">
        <v>116</v>
      </c>
      <c r="G41" s="34"/>
      <c r="H41" s="34"/>
      <c r="I41" s="34"/>
      <c r="J41" s="34"/>
      <c r="K41" s="34"/>
      <c r="L41" s="33"/>
      <c r="M41" s="34"/>
      <c r="N41" s="34"/>
      <c r="O41" s="34"/>
      <c r="P41" s="33">
        <v>72000</v>
      </c>
      <c r="Q41" s="34"/>
      <c r="R41" s="34"/>
      <c r="S41" s="34"/>
      <c r="T41" s="34"/>
      <c r="U41" s="34"/>
      <c r="V41" s="34"/>
      <c r="W41" s="34"/>
      <c r="X41" s="34"/>
    </row>
    <row r="42" spans="1:24" ht="23.25">
      <c r="A42" s="29" t="s">
        <v>120</v>
      </c>
      <c r="B42" s="30">
        <v>1</v>
      </c>
      <c r="C42" s="41">
        <v>5500</v>
      </c>
      <c r="D42" s="30">
        <v>12</v>
      </c>
      <c r="E42" s="32">
        <v>66000</v>
      </c>
      <c r="F42" s="625" t="s">
        <v>116</v>
      </c>
      <c r="G42" s="34"/>
      <c r="H42" s="34"/>
      <c r="I42" s="34"/>
      <c r="J42" s="34"/>
      <c r="K42" s="34"/>
      <c r="L42" s="33"/>
      <c r="M42" s="34"/>
      <c r="N42" s="34"/>
      <c r="O42" s="34"/>
      <c r="P42" s="33">
        <v>66000</v>
      </c>
      <c r="Q42" s="34"/>
      <c r="R42" s="34"/>
      <c r="S42" s="34"/>
      <c r="T42" s="34"/>
      <c r="U42" s="34"/>
      <c r="V42" s="34"/>
      <c r="W42" s="34"/>
      <c r="X42" s="34"/>
    </row>
    <row r="43" spans="1:24" ht="23.25">
      <c r="A43" s="29" t="s">
        <v>121</v>
      </c>
      <c r="B43" s="30">
        <v>1</v>
      </c>
      <c r="C43" s="41">
        <v>17000</v>
      </c>
      <c r="D43" s="30">
        <v>12</v>
      </c>
      <c r="E43" s="32">
        <v>204000</v>
      </c>
      <c r="F43" s="625" t="s">
        <v>116</v>
      </c>
      <c r="G43" s="34"/>
      <c r="H43" s="34"/>
      <c r="I43" s="34"/>
      <c r="J43" s="34"/>
      <c r="K43" s="34"/>
      <c r="L43" s="33"/>
      <c r="M43" s="34"/>
      <c r="N43" s="34"/>
      <c r="O43" s="34"/>
      <c r="P43" s="33">
        <v>204000</v>
      </c>
      <c r="Q43" s="34"/>
      <c r="R43" s="34"/>
      <c r="S43" s="34"/>
      <c r="T43" s="34"/>
      <c r="U43" s="34"/>
      <c r="V43" s="34"/>
      <c r="W43" s="34"/>
      <c r="X43" s="34"/>
    </row>
    <row r="44" spans="1:24" ht="34.5">
      <c r="A44" s="29" t="s">
        <v>122</v>
      </c>
      <c r="B44" s="30">
        <v>1</v>
      </c>
      <c r="C44" s="41">
        <v>20000</v>
      </c>
      <c r="D44" s="30">
        <v>12</v>
      </c>
      <c r="E44" s="32">
        <v>240000</v>
      </c>
      <c r="F44" s="625" t="s">
        <v>116</v>
      </c>
      <c r="G44" s="34"/>
      <c r="H44" s="34"/>
      <c r="I44" s="34"/>
      <c r="J44" s="34"/>
      <c r="K44" s="34"/>
      <c r="L44" s="33"/>
      <c r="M44" s="34"/>
      <c r="N44" s="34"/>
      <c r="O44" s="34"/>
      <c r="P44" s="33">
        <v>240000</v>
      </c>
      <c r="Q44" s="34"/>
      <c r="R44" s="34"/>
      <c r="S44" s="34"/>
      <c r="T44" s="34"/>
      <c r="U44" s="34"/>
      <c r="V44" s="34"/>
      <c r="W44" s="34"/>
      <c r="X44" s="34"/>
    </row>
    <row r="45" spans="1:24" ht="23.25">
      <c r="A45" s="29" t="s">
        <v>123</v>
      </c>
      <c r="B45" s="30">
        <v>1</v>
      </c>
      <c r="C45" s="41">
        <v>14000</v>
      </c>
      <c r="D45" s="30">
        <v>12</v>
      </c>
      <c r="E45" s="32">
        <v>168000</v>
      </c>
      <c r="F45" s="625" t="s">
        <v>116</v>
      </c>
      <c r="G45" s="34"/>
      <c r="H45" s="34"/>
      <c r="I45" s="34"/>
      <c r="J45" s="34"/>
      <c r="K45" s="34"/>
      <c r="L45" s="33"/>
      <c r="M45" s="34"/>
      <c r="N45" s="34"/>
      <c r="O45" s="34"/>
      <c r="P45" s="33">
        <v>168000</v>
      </c>
      <c r="Q45" s="34"/>
      <c r="R45" s="34"/>
      <c r="S45" s="34"/>
      <c r="T45" s="34"/>
      <c r="U45" s="34"/>
      <c r="V45" s="34"/>
      <c r="W45" s="34"/>
      <c r="X45" s="34"/>
    </row>
    <row r="46" spans="1:24" ht="23.25">
      <c r="A46" s="29" t="s">
        <v>115</v>
      </c>
      <c r="B46" s="30">
        <v>1</v>
      </c>
      <c r="C46" s="41">
        <v>7000</v>
      </c>
      <c r="D46" s="30">
        <v>12</v>
      </c>
      <c r="E46" s="32">
        <v>84000</v>
      </c>
      <c r="F46" s="625" t="s">
        <v>116</v>
      </c>
      <c r="G46" s="33"/>
      <c r="H46" s="33"/>
      <c r="I46" s="33"/>
      <c r="J46" s="33"/>
      <c r="K46" s="33"/>
      <c r="L46" s="33"/>
      <c r="M46" s="33"/>
      <c r="N46" s="33"/>
      <c r="O46" s="33"/>
      <c r="P46" s="33">
        <v>84000</v>
      </c>
      <c r="Q46" s="33"/>
      <c r="R46" s="33"/>
      <c r="S46" s="33"/>
      <c r="T46" s="33"/>
      <c r="U46" s="34"/>
      <c r="V46" s="33"/>
      <c r="W46" s="33"/>
      <c r="X46" s="33"/>
    </row>
    <row r="47" spans="1:24" ht="23.25">
      <c r="A47" s="29" t="s">
        <v>124</v>
      </c>
      <c r="B47" s="30">
        <v>1</v>
      </c>
      <c r="C47" s="41">
        <v>7500</v>
      </c>
      <c r="D47" s="30">
        <v>12</v>
      </c>
      <c r="E47" s="32">
        <v>90000</v>
      </c>
      <c r="F47" s="625" t="s">
        <v>116</v>
      </c>
      <c r="G47" s="34"/>
      <c r="H47" s="34"/>
      <c r="I47" s="34"/>
      <c r="J47" s="34"/>
      <c r="K47" s="34"/>
      <c r="L47" s="33"/>
      <c r="M47" s="34"/>
      <c r="N47" s="34"/>
      <c r="O47" s="34"/>
      <c r="P47" s="33">
        <v>90000</v>
      </c>
      <c r="Q47" s="34"/>
      <c r="R47" s="34"/>
      <c r="S47" s="34"/>
      <c r="T47" s="34"/>
      <c r="U47" s="34"/>
      <c r="V47" s="34"/>
      <c r="W47" s="34"/>
      <c r="X47" s="34"/>
    </row>
    <row r="48" spans="1:24" ht="23.25">
      <c r="A48" s="29" t="s">
        <v>124</v>
      </c>
      <c r="B48" s="30">
        <v>1</v>
      </c>
      <c r="C48" s="41">
        <v>7500</v>
      </c>
      <c r="D48" s="30">
        <v>12</v>
      </c>
      <c r="E48" s="32">
        <v>90000</v>
      </c>
      <c r="F48" s="625" t="s">
        <v>116</v>
      </c>
      <c r="G48" s="34"/>
      <c r="H48" s="34"/>
      <c r="I48" s="34"/>
      <c r="J48" s="34"/>
      <c r="K48" s="34"/>
      <c r="L48" s="33"/>
      <c r="M48" s="34"/>
      <c r="N48" s="34"/>
      <c r="O48" s="34"/>
      <c r="P48" s="33">
        <v>90000</v>
      </c>
      <c r="Q48" s="34"/>
      <c r="R48" s="34"/>
      <c r="S48" s="34"/>
      <c r="T48" s="34"/>
      <c r="U48" s="34"/>
      <c r="V48" s="34"/>
      <c r="W48" s="34"/>
      <c r="X48" s="34"/>
    </row>
    <row r="49" spans="1:24" ht="23.25">
      <c r="A49" s="29" t="s">
        <v>125</v>
      </c>
      <c r="B49" s="30">
        <v>1</v>
      </c>
      <c r="C49" s="41">
        <v>5500</v>
      </c>
      <c r="D49" s="30">
        <v>12</v>
      </c>
      <c r="E49" s="32">
        <v>66000</v>
      </c>
      <c r="F49" s="625" t="s">
        <v>116</v>
      </c>
      <c r="G49" s="34"/>
      <c r="H49" s="34"/>
      <c r="I49" s="34"/>
      <c r="J49" s="34"/>
      <c r="K49" s="34"/>
      <c r="L49" s="33"/>
      <c r="M49" s="34"/>
      <c r="N49" s="34"/>
      <c r="O49" s="34"/>
      <c r="P49" s="33">
        <v>66000</v>
      </c>
      <c r="Q49" s="34"/>
      <c r="R49" s="34"/>
      <c r="S49" s="34"/>
      <c r="T49" s="34"/>
      <c r="U49" s="34"/>
      <c r="V49" s="34"/>
      <c r="W49" s="34"/>
      <c r="X49" s="34"/>
    </row>
    <row r="50" spans="1:24" ht="23.25">
      <c r="A50" s="29" t="s">
        <v>126</v>
      </c>
      <c r="B50" s="30">
        <v>1</v>
      </c>
      <c r="C50" s="41">
        <v>5500</v>
      </c>
      <c r="D50" s="30">
        <v>12</v>
      </c>
      <c r="E50" s="32">
        <v>66000</v>
      </c>
      <c r="F50" s="625" t="s">
        <v>116</v>
      </c>
      <c r="G50" s="34"/>
      <c r="H50" s="34"/>
      <c r="I50" s="34"/>
      <c r="J50" s="34"/>
      <c r="K50" s="34"/>
      <c r="L50" s="33"/>
      <c r="M50" s="34"/>
      <c r="N50" s="34"/>
      <c r="O50" s="34"/>
      <c r="P50" s="33">
        <v>66000</v>
      </c>
      <c r="Q50" s="34"/>
      <c r="R50" s="34"/>
      <c r="S50" s="34"/>
      <c r="T50" s="34"/>
      <c r="U50" s="34"/>
      <c r="V50" s="34"/>
      <c r="W50" s="34"/>
      <c r="X50" s="34"/>
    </row>
    <row r="51" spans="1:24" ht="22.5">
      <c r="A51" s="29" t="s">
        <v>127</v>
      </c>
      <c r="B51" s="30">
        <v>1</v>
      </c>
      <c r="C51" s="41">
        <v>11125</v>
      </c>
      <c r="D51" s="30">
        <v>12</v>
      </c>
      <c r="E51" s="32">
        <v>133500</v>
      </c>
      <c r="F51" s="625" t="s">
        <v>116</v>
      </c>
      <c r="G51" s="34"/>
      <c r="H51" s="34"/>
      <c r="I51" s="34"/>
      <c r="J51" s="34"/>
      <c r="K51" s="34"/>
      <c r="L51" s="33"/>
      <c r="M51" s="34"/>
      <c r="N51" s="34"/>
      <c r="O51" s="34"/>
      <c r="P51" s="33">
        <v>133500</v>
      </c>
      <c r="Q51" s="34"/>
      <c r="R51" s="34"/>
      <c r="S51" s="34"/>
      <c r="T51" s="34"/>
      <c r="U51" s="34"/>
      <c r="V51" s="34"/>
      <c r="W51" s="34"/>
      <c r="X51" s="34"/>
    </row>
    <row r="52" spans="1:24" ht="34.5">
      <c r="A52" s="29" t="s">
        <v>128</v>
      </c>
      <c r="B52" s="30">
        <v>1</v>
      </c>
      <c r="C52" s="41">
        <v>13000</v>
      </c>
      <c r="D52" s="30">
        <v>12</v>
      </c>
      <c r="E52" s="32">
        <v>156000</v>
      </c>
      <c r="F52" s="625" t="s">
        <v>116</v>
      </c>
      <c r="G52" s="34"/>
      <c r="H52" s="34"/>
      <c r="I52" s="34"/>
      <c r="J52" s="34"/>
      <c r="K52" s="34"/>
      <c r="L52" s="33"/>
      <c r="M52" s="34"/>
      <c r="N52" s="34"/>
      <c r="O52" s="34"/>
      <c r="P52" s="33">
        <v>156000</v>
      </c>
      <c r="Q52" s="34"/>
      <c r="R52" s="34"/>
      <c r="S52" s="34"/>
      <c r="T52" s="34"/>
      <c r="U52" s="34"/>
      <c r="V52" s="34"/>
      <c r="W52" s="34"/>
      <c r="X52" s="34"/>
    </row>
    <row r="53" spans="1:24" ht="23.25">
      <c r="A53" s="29" t="s">
        <v>129</v>
      </c>
      <c r="B53" s="30">
        <v>1</v>
      </c>
      <c r="C53" s="41">
        <v>3500</v>
      </c>
      <c r="D53" s="30">
        <v>12</v>
      </c>
      <c r="E53" s="32">
        <v>42000</v>
      </c>
      <c r="F53" s="625" t="s">
        <v>116</v>
      </c>
      <c r="G53" s="34"/>
      <c r="H53" s="34"/>
      <c r="I53" s="34"/>
      <c r="J53" s="34"/>
      <c r="K53" s="34"/>
      <c r="L53" s="33"/>
      <c r="M53" s="34"/>
      <c r="N53" s="34"/>
      <c r="O53" s="34"/>
      <c r="P53" s="33">
        <v>42000</v>
      </c>
      <c r="Q53" s="34"/>
      <c r="R53" s="34"/>
      <c r="S53" s="34"/>
      <c r="T53" s="34"/>
      <c r="U53" s="34"/>
      <c r="V53" s="34"/>
      <c r="W53" s="34"/>
      <c r="X53" s="34"/>
    </row>
    <row r="54" spans="1:24" ht="22.5">
      <c r="A54" s="29" t="s">
        <v>130</v>
      </c>
      <c r="B54" s="30">
        <v>1</v>
      </c>
      <c r="C54" s="41">
        <v>20000</v>
      </c>
      <c r="D54" s="30">
        <v>12</v>
      </c>
      <c r="E54" s="32">
        <v>240000</v>
      </c>
      <c r="F54" s="625" t="s">
        <v>116</v>
      </c>
      <c r="G54" s="34"/>
      <c r="H54" s="34"/>
      <c r="I54" s="34"/>
      <c r="J54" s="34"/>
      <c r="K54" s="34"/>
      <c r="L54" s="33"/>
      <c r="M54" s="34"/>
      <c r="N54" s="34"/>
      <c r="O54" s="34"/>
      <c r="P54" s="33">
        <v>240000</v>
      </c>
      <c r="Q54" s="34"/>
      <c r="R54" s="34"/>
      <c r="S54" s="34"/>
      <c r="T54" s="34"/>
      <c r="U54" s="34"/>
      <c r="V54" s="34"/>
      <c r="W54" s="34"/>
      <c r="X54" s="34"/>
    </row>
    <row r="55" spans="1:24" ht="23.25">
      <c r="A55" s="29" t="s">
        <v>125</v>
      </c>
      <c r="B55" s="30">
        <v>1</v>
      </c>
      <c r="C55" s="41">
        <v>5500</v>
      </c>
      <c r="D55" s="30">
        <v>12</v>
      </c>
      <c r="E55" s="32">
        <v>66000</v>
      </c>
      <c r="F55" s="625" t="s">
        <v>116</v>
      </c>
      <c r="G55" s="34"/>
      <c r="H55" s="34"/>
      <c r="I55" s="34"/>
      <c r="J55" s="34"/>
      <c r="K55" s="34"/>
      <c r="L55" s="33"/>
      <c r="M55" s="34"/>
      <c r="N55" s="34"/>
      <c r="O55" s="34"/>
      <c r="P55" s="33">
        <v>66000</v>
      </c>
      <c r="Q55" s="34"/>
      <c r="R55" s="34"/>
      <c r="S55" s="34"/>
      <c r="T55" s="34"/>
      <c r="U55" s="34"/>
      <c r="V55" s="34"/>
      <c r="W55" s="34"/>
      <c r="X55" s="34"/>
    </row>
    <row r="56" spans="1:24" ht="23.25">
      <c r="A56" s="29" t="s">
        <v>131</v>
      </c>
      <c r="B56" s="30">
        <v>1</v>
      </c>
      <c r="C56" s="41">
        <v>4500</v>
      </c>
      <c r="D56" s="30">
        <v>12</v>
      </c>
      <c r="E56" s="32">
        <v>54000</v>
      </c>
      <c r="F56" s="625" t="s">
        <v>116</v>
      </c>
      <c r="G56" s="34"/>
      <c r="H56" s="34"/>
      <c r="I56" s="34"/>
      <c r="J56" s="34"/>
      <c r="K56" s="34"/>
      <c r="L56" s="33"/>
      <c r="M56" s="34"/>
      <c r="N56" s="34"/>
      <c r="O56" s="34"/>
      <c r="P56" s="33">
        <v>54000</v>
      </c>
      <c r="Q56" s="34"/>
      <c r="R56" s="34"/>
      <c r="S56" s="34"/>
      <c r="T56" s="34"/>
      <c r="U56" s="34"/>
      <c r="V56" s="34"/>
      <c r="W56" s="34"/>
      <c r="X56" s="34"/>
    </row>
    <row r="57" spans="1:24" ht="23.25">
      <c r="A57" s="29" t="s">
        <v>132</v>
      </c>
      <c r="B57" s="30">
        <v>1</v>
      </c>
      <c r="C57" s="41">
        <v>5000</v>
      </c>
      <c r="D57" s="30">
        <v>12</v>
      </c>
      <c r="E57" s="32">
        <v>60000</v>
      </c>
      <c r="F57" s="625" t="s">
        <v>116</v>
      </c>
      <c r="G57" s="34"/>
      <c r="H57" s="34"/>
      <c r="I57" s="34"/>
      <c r="J57" s="34"/>
      <c r="K57" s="34"/>
      <c r="L57" s="33"/>
      <c r="M57" s="34"/>
      <c r="N57" s="34"/>
      <c r="O57" s="34"/>
      <c r="P57" s="33">
        <v>60000</v>
      </c>
      <c r="Q57" s="34"/>
      <c r="R57" s="34"/>
      <c r="S57" s="34"/>
      <c r="T57" s="34"/>
      <c r="U57" s="34"/>
      <c r="V57" s="34"/>
      <c r="W57" s="34"/>
      <c r="X57" s="34"/>
    </row>
    <row r="58" spans="1:24" ht="23.25">
      <c r="A58" s="29" t="s">
        <v>133</v>
      </c>
      <c r="B58" s="30">
        <v>1</v>
      </c>
      <c r="C58" s="41">
        <v>10000</v>
      </c>
      <c r="D58" s="30">
        <v>12</v>
      </c>
      <c r="E58" s="32">
        <v>120000</v>
      </c>
      <c r="F58" s="625" t="s">
        <v>116</v>
      </c>
      <c r="G58" s="34"/>
      <c r="H58" s="34"/>
      <c r="I58" s="34"/>
      <c r="J58" s="34"/>
      <c r="K58" s="34"/>
      <c r="L58" s="33"/>
      <c r="M58" s="34"/>
      <c r="N58" s="34"/>
      <c r="O58" s="34"/>
      <c r="P58" s="33">
        <v>120000</v>
      </c>
      <c r="Q58" s="34"/>
      <c r="R58" s="34"/>
      <c r="S58" s="34"/>
      <c r="T58" s="34"/>
      <c r="U58" s="34"/>
      <c r="V58" s="34"/>
      <c r="W58" s="34"/>
      <c r="X58" s="34"/>
    </row>
    <row r="59" spans="1:24" ht="23.25">
      <c r="A59" s="29" t="s">
        <v>134</v>
      </c>
      <c r="B59" s="30">
        <v>1</v>
      </c>
      <c r="C59" s="41">
        <v>7500</v>
      </c>
      <c r="D59" s="30">
        <v>12</v>
      </c>
      <c r="E59" s="32">
        <v>90000</v>
      </c>
      <c r="F59" s="625" t="s">
        <v>116</v>
      </c>
      <c r="G59" s="33"/>
      <c r="H59" s="33"/>
      <c r="I59" s="33"/>
      <c r="J59" s="33"/>
      <c r="K59" s="33"/>
      <c r="L59" s="33"/>
      <c r="M59" s="33"/>
      <c r="N59" s="33"/>
      <c r="O59" s="33"/>
      <c r="P59" s="33">
        <v>90000</v>
      </c>
      <c r="Q59" s="33"/>
      <c r="R59" s="33"/>
      <c r="S59" s="33"/>
      <c r="T59" s="33"/>
      <c r="U59" s="34"/>
      <c r="V59" s="33"/>
      <c r="W59" s="33"/>
      <c r="X59" s="33"/>
    </row>
    <row r="60" spans="1:24" ht="23.25">
      <c r="A60" s="29" t="s">
        <v>125</v>
      </c>
      <c r="B60" s="30">
        <v>1</v>
      </c>
      <c r="C60" s="41">
        <v>5500</v>
      </c>
      <c r="D60" s="30">
        <v>12</v>
      </c>
      <c r="E60" s="32">
        <v>66000</v>
      </c>
      <c r="F60" s="625" t="s">
        <v>116</v>
      </c>
      <c r="G60" s="34"/>
      <c r="H60" s="34"/>
      <c r="I60" s="34"/>
      <c r="J60" s="34"/>
      <c r="K60" s="34"/>
      <c r="L60" s="33"/>
      <c r="M60" s="34"/>
      <c r="N60" s="34"/>
      <c r="O60" s="34"/>
      <c r="P60" s="33">
        <v>66000</v>
      </c>
      <c r="Q60" s="34"/>
      <c r="R60" s="34"/>
      <c r="S60" s="34"/>
      <c r="T60" s="34"/>
      <c r="U60" s="34"/>
      <c r="V60" s="34"/>
      <c r="W60" s="34"/>
      <c r="X60" s="34"/>
    </row>
    <row r="61" spans="1:24" ht="23.25">
      <c r="A61" s="29" t="s">
        <v>135</v>
      </c>
      <c r="B61" s="30">
        <v>1</v>
      </c>
      <c r="C61" s="41">
        <v>10500</v>
      </c>
      <c r="D61" s="30">
        <v>12</v>
      </c>
      <c r="E61" s="32">
        <v>126000</v>
      </c>
      <c r="F61" s="625" t="s">
        <v>116</v>
      </c>
      <c r="G61" s="34"/>
      <c r="H61" s="34"/>
      <c r="I61" s="34"/>
      <c r="J61" s="34"/>
      <c r="K61" s="34"/>
      <c r="L61" s="33"/>
      <c r="M61" s="34"/>
      <c r="N61" s="34"/>
      <c r="O61" s="34"/>
      <c r="P61" s="33">
        <v>126000</v>
      </c>
      <c r="Q61" s="34"/>
      <c r="R61" s="34"/>
      <c r="S61" s="34"/>
      <c r="T61" s="34"/>
      <c r="U61" s="34"/>
      <c r="V61" s="34"/>
      <c r="W61" s="34"/>
      <c r="X61" s="34"/>
    </row>
    <row r="62" spans="1:24" ht="23.25">
      <c r="A62" s="29" t="s">
        <v>126</v>
      </c>
      <c r="B62" s="30">
        <v>1</v>
      </c>
      <c r="C62" s="41">
        <v>5500</v>
      </c>
      <c r="D62" s="30">
        <v>12</v>
      </c>
      <c r="E62" s="32">
        <v>66000</v>
      </c>
      <c r="F62" s="625" t="s">
        <v>116</v>
      </c>
      <c r="G62" s="34"/>
      <c r="H62" s="34"/>
      <c r="I62" s="34"/>
      <c r="J62" s="34"/>
      <c r="K62" s="34"/>
      <c r="L62" s="33"/>
      <c r="M62" s="34"/>
      <c r="N62" s="34"/>
      <c r="O62" s="34"/>
      <c r="P62" s="33">
        <v>66000</v>
      </c>
      <c r="Q62" s="34"/>
      <c r="R62" s="34"/>
      <c r="S62" s="34"/>
      <c r="T62" s="34"/>
      <c r="U62" s="34"/>
      <c r="V62" s="34"/>
      <c r="W62" s="34"/>
      <c r="X62" s="34"/>
    </row>
    <row r="63" spans="1:24" ht="23.25">
      <c r="A63" s="29" t="s">
        <v>136</v>
      </c>
      <c r="B63" s="30">
        <v>1</v>
      </c>
      <c r="C63" s="41">
        <v>10000</v>
      </c>
      <c r="D63" s="30">
        <v>12</v>
      </c>
      <c r="E63" s="32">
        <v>120000</v>
      </c>
      <c r="F63" s="625" t="s">
        <v>116</v>
      </c>
      <c r="G63" s="34"/>
      <c r="H63" s="34"/>
      <c r="I63" s="34"/>
      <c r="J63" s="34"/>
      <c r="K63" s="34"/>
      <c r="L63" s="33"/>
      <c r="M63" s="34"/>
      <c r="N63" s="34"/>
      <c r="O63" s="34"/>
      <c r="P63" s="33">
        <v>120000</v>
      </c>
      <c r="Q63" s="34"/>
      <c r="R63" s="34"/>
      <c r="S63" s="34"/>
      <c r="T63" s="34"/>
      <c r="U63" s="34"/>
      <c r="V63" s="34"/>
      <c r="W63" s="34"/>
      <c r="X63" s="34"/>
    </row>
    <row r="64" spans="1:24" ht="23.25">
      <c r="A64" s="29" t="s">
        <v>137</v>
      </c>
      <c r="B64" s="30">
        <v>1</v>
      </c>
      <c r="C64" s="41">
        <v>22400</v>
      </c>
      <c r="D64" s="30">
        <v>12</v>
      </c>
      <c r="E64" s="32">
        <v>268800</v>
      </c>
      <c r="F64" s="625" t="s">
        <v>116</v>
      </c>
      <c r="G64" s="34"/>
      <c r="H64" s="34"/>
      <c r="I64" s="34"/>
      <c r="J64" s="34"/>
      <c r="K64" s="34"/>
      <c r="L64" s="33"/>
      <c r="M64" s="34"/>
      <c r="N64" s="34"/>
      <c r="O64" s="34"/>
      <c r="P64" s="33">
        <v>268800</v>
      </c>
      <c r="Q64" s="34"/>
      <c r="R64" s="34"/>
      <c r="S64" s="34"/>
      <c r="T64" s="34"/>
      <c r="U64" s="34"/>
      <c r="V64" s="34"/>
      <c r="W64" s="34"/>
      <c r="X64" s="34"/>
    </row>
    <row r="65" spans="1:24" ht="23.25">
      <c r="A65" s="29" t="s">
        <v>138</v>
      </c>
      <c r="B65" s="30">
        <v>1</v>
      </c>
      <c r="C65" s="41">
        <v>6000</v>
      </c>
      <c r="D65" s="30">
        <v>12</v>
      </c>
      <c r="E65" s="32">
        <v>72000</v>
      </c>
      <c r="F65" s="625" t="s">
        <v>116</v>
      </c>
      <c r="G65" s="34"/>
      <c r="H65" s="34"/>
      <c r="I65" s="34"/>
      <c r="J65" s="34"/>
      <c r="K65" s="34"/>
      <c r="L65" s="33"/>
      <c r="M65" s="34"/>
      <c r="N65" s="34"/>
      <c r="O65" s="34"/>
      <c r="P65" s="33">
        <v>72000</v>
      </c>
      <c r="Q65" s="34"/>
      <c r="R65" s="34"/>
      <c r="S65" s="34"/>
      <c r="T65" s="34"/>
      <c r="U65" s="34"/>
      <c r="V65" s="34"/>
      <c r="W65" s="34"/>
      <c r="X65" s="34"/>
    </row>
    <row r="66" spans="1:24" ht="23.25">
      <c r="A66" s="29" t="s">
        <v>139</v>
      </c>
      <c r="B66" s="30">
        <v>1</v>
      </c>
      <c r="C66" s="41">
        <v>5500</v>
      </c>
      <c r="D66" s="30">
        <v>12</v>
      </c>
      <c r="E66" s="32">
        <v>66000</v>
      </c>
      <c r="F66" s="625" t="s">
        <v>116</v>
      </c>
      <c r="G66" s="34"/>
      <c r="H66" s="34"/>
      <c r="I66" s="34"/>
      <c r="J66" s="34"/>
      <c r="K66" s="34"/>
      <c r="L66" s="33"/>
      <c r="M66" s="34"/>
      <c r="N66" s="34"/>
      <c r="O66" s="34"/>
      <c r="P66" s="33">
        <v>66000</v>
      </c>
      <c r="Q66" s="34"/>
      <c r="R66" s="34"/>
      <c r="S66" s="34"/>
      <c r="T66" s="34"/>
      <c r="U66" s="34"/>
      <c r="V66" s="34"/>
      <c r="W66" s="34"/>
      <c r="X66" s="34"/>
    </row>
    <row r="67" spans="1:24" ht="23.25">
      <c r="A67" s="29" t="s">
        <v>115</v>
      </c>
      <c r="B67" s="30">
        <v>1</v>
      </c>
      <c r="C67" s="41">
        <v>5500</v>
      </c>
      <c r="D67" s="30">
        <v>12</v>
      </c>
      <c r="E67" s="32">
        <v>66000</v>
      </c>
      <c r="F67" s="625" t="s">
        <v>116</v>
      </c>
      <c r="G67" s="34"/>
      <c r="H67" s="34"/>
      <c r="I67" s="34"/>
      <c r="J67" s="34"/>
      <c r="K67" s="34"/>
      <c r="L67" s="33"/>
      <c r="M67" s="34"/>
      <c r="N67" s="34"/>
      <c r="O67" s="34"/>
      <c r="P67" s="33">
        <v>66000</v>
      </c>
      <c r="Q67" s="34"/>
      <c r="R67" s="34"/>
      <c r="S67" s="34"/>
      <c r="T67" s="34"/>
      <c r="U67" s="34"/>
      <c r="V67" s="34"/>
      <c r="W67" s="34"/>
      <c r="X67" s="34"/>
    </row>
    <row r="68" spans="1:24" ht="23.25">
      <c r="A68" s="29" t="s">
        <v>140</v>
      </c>
      <c r="B68" s="30">
        <v>1</v>
      </c>
      <c r="C68" s="41">
        <v>4000</v>
      </c>
      <c r="D68" s="30">
        <v>12</v>
      </c>
      <c r="E68" s="32">
        <v>48000</v>
      </c>
      <c r="F68" s="625" t="s">
        <v>116</v>
      </c>
      <c r="G68" s="34"/>
      <c r="H68" s="34"/>
      <c r="I68" s="34"/>
      <c r="J68" s="34"/>
      <c r="K68" s="34"/>
      <c r="L68" s="33"/>
      <c r="M68" s="34"/>
      <c r="N68" s="34"/>
      <c r="O68" s="34"/>
      <c r="P68" s="33">
        <v>48000</v>
      </c>
      <c r="Q68" s="34"/>
      <c r="R68" s="34"/>
      <c r="S68" s="34"/>
      <c r="T68" s="34"/>
      <c r="U68" s="34"/>
      <c r="V68" s="34"/>
      <c r="W68" s="34"/>
      <c r="X68" s="34"/>
    </row>
    <row r="69" spans="1:24" ht="23.25">
      <c r="A69" s="29" t="s">
        <v>141</v>
      </c>
      <c r="B69" s="30">
        <v>1</v>
      </c>
      <c r="C69" s="41">
        <v>9000</v>
      </c>
      <c r="D69" s="30">
        <v>12</v>
      </c>
      <c r="E69" s="32">
        <v>108000</v>
      </c>
      <c r="F69" s="625" t="s">
        <v>116</v>
      </c>
      <c r="G69" s="34"/>
      <c r="H69" s="34"/>
      <c r="I69" s="34"/>
      <c r="J69" s="34"/>
      <c r="K69" s="34"/>
      <c r="L69" s="33"/>
      <c r="M69" s="34"/>
      <c r="N69" s="34"/>
      <c r="O69" s="34"/>
      <c r="P69" s="33">
        <v>108000</v>
      </c>
      <c r="Q69" s="34"/>
      <c r="R69" s="34"/>
      <c r="S69" s="34"/>
      <c r="T69" s="34"/>
      <c r="U69" s="34"/>
      <c r="V69" s="34"/>
      <c r="W69" s="34"/>
      <c r="X69" s="34"/>
    </row>
    <row r="70" spans="1:24" ht="23.25">
      <c r="A70" s="29" t="s">
        <v>142</v>
      </c>
      <c r="B70" s="30">
        <v>1</v>
      </c>
      <c r="C70" s="41">
        <v>5500</v>
      </c>
      <c r="D70" s="30">
        <v>12</v>
      </c>
      <c r="E70" s="32">
        <v>66000</v>
      </c>
      <c r="F70" s="625" t="s">
        <v>116</v>
      </c>
      <c r="G70" s="34"/>
      <c r="H70" s="34"/>
      <c r="I70" s="34"/>
      <c r="J70" s="34"/>
      <c r="K70" s="34"/>
      <c r="L70" s="33"/>
      <c r="M70" s="34"/>
      <c r="N70" s="34"/>
      <c r="O70" s="34"/>
      <c r="P70" s="33">
        <v>66000</v>
      </c>
      <c r="Q70" s="34"/>
      <c r="R70" s="34"/>
      <c r="S70" s="34"/>
      <c r="T70" s="34"/>
      <c r="U70" s="34"/>
      <c r="V70" s="34"/>
      <c r="W70" s="34"/>
      <c r="X70" s="34"/>
    </row>
    <row r="71" spans="1:24" ht="23.25">
      <c r="A71" s="29" t="s">
        <v>143</v>
      </c>
      <c r="B71" s="30">
        <v>1</v>
      </c>
      <c r="C71" s="41">
        <v>6500</v>
      </c>
      <c r="D71" s="30">
        <v>12</v>
      </c>
      <c r="E71" s="32">
        <v>78000</v>
      </c>
      <c r="F71" s="625" t="s">
        <v>116</v>
      </c>
      <c r="G71" s="34"/>
      <c r="H71" s="34"/>
      <c r="I71" s="34"/>
      <c r="J71" s="34"/>
      <c r="K71" s="34"/>
      <c r="L71" s="33"/>
      <c r="M71" s="34"/>
      <c r="N71" s="34"/>
      <c r="O71" s="34"/>
      <c r="P71" s="33">
        <v>78000</v>
      </c>
      <c r="Q71" s="34"/>
      <c r="R71" s="34"/>
      <c r="S71" s="34"/>
      <c r="T71" s="34"/>
      <c r="U71" s="34"/>
      <c r="V71" s="34"/>
      <c r="W71" s="34"/>
      <c r="X71" s="34"/>
    </row>
    <row r="72" spans="1:24" ht="23.25">
      <c r="A72" s="29" t="s">
        <v>118</v>
      </c>
      <c r="B72" s="30">
        <v>1</v>
      </c>
      <c r="C72" s="41">
        <v>4000</v>
      </c>
      <c r="D72" s="30">
        <v>12</v>
      </c>
      <c r="E72" s="32">
        <v>48000</v>
      </c>
      <c r="F72" s="625" t="s">
        <v>116</v>
      </c>
      <c r="G72" s="34"/>
      <c r="H72" s="34"/>
      <c r="I72" s="34"/>
      <c r="J72" s="34"/>
      <c r="K72" s="34"/>
      <c r="L72" s="33"/>
      <c r="M72" s="34"/>
      <c r="N72" s="34"/>
      <c r="O72" s="34"/>
      <c r="P72" s="33">
        <v>48000</v>
      </c>
      <c r="Q72" s="34"/>
      <c r="R72" s="34"/>
      <c r="S72" s="34"/>
      <c r="T72" s="34"/>
      <c r="U72" s="34"/>
      <c r="V72" s="34"/>
      <c r="W72" s="34"/>
      <c r="X72" s="34"/>
    </row>
    <row r="73" spans="1:24" ht="22.5">
      <c r="A73" s="29" t="s">
        <v>144</v>
      </c>
      <c r="B73" s="30">
        <v>1</v>
      </c>
      <c r="C73" s="41">
        <v>17250</v>
      </c>
      <c r="D73" s="30">
        <v>12</v>
      </c>
      <c r="E73" s="32">
        <v>207000</v>
      </c>
      <c r="F73" s="625" t="s">
        <v>116</v>
      </c>
      <c r="G73" s="34"/>
      <c r="H73" s="34"/>
      <c r="I73" s="34"/>
      <c r="J73" s="34"/>
      <c r="K73" s="34"/>
      <c r="L73" s="33"/>
      <c r="M73" s="34"/>
      <c r="N73" s="34"/>
      <c r="O73" s="34"/>
      <c r="P73" s="33">
        <v>207000</v>
      </c>
      <c r="Q73" s="34"/>
      <c r="R73" s="34"/>
      <c r="S73" s="34"/>
      <c r="T73" s="34"/>
      <c r="U73" s="34"/>
      <c r="V73" s="34"/>
      <c r="W73" s="34"/>
      <c r="X73" s="34"/>
    </row>
    <row r="74" spans="1:24" ht="23.25">
      <c r="A74" s="29" t="s">
        <v>145</v>
      </c>
      <c r="B74" s="30">
        <v>1</v>
      </c>
      <c r="C74" s="41">
        <v>15000</v>
      </c>
      <c r="D74" s="30">
        <v>12</v>
      </c>
      <c r="E74" s="32">
        <v>180000</v>
      </c>
      <c r="F74" s="625" t="s">
        <v>116</v>
      </c>
      <c r="G74" s="34"/>
      <c r="H74" s="34"/>
      <c r="I74" s="34"/>
      <c r="J74" s="34"/>
      <c r="K74" s="34"/>
      <c r="L74" s="33"/>
      <c r="M74" s="34"/>
      <c r="N74" s="34"/>
      <c r="O74" s="34"/>
      <c r="P74" s="33">
        <v>180000</v>
      </c>
      <c r="Q74" s="34"/>
      <c r="R74" s="34"/>
      <c r="S74" s="34"/>
      <c r="T74" s="34"/>
      <c r="U74" s="34"/>
      <c r="V74" s="34"/>
      <c r="W74" s="34"/>
      <c r="X74" s="34"/>
    </row>
    <row r="75" spans="1:24" ht="23.25">
      <c r="A75" s="29" t="s">
        <v>126</v>
      </c>
      <c r="B75" s="30">
        <v>1</v>
      </c>
      <c r="C75" s="41">
        <v>5500</v>
      </c>
      <c r="D75" s="30">
        <v>12</v>
      </c>
      <c r="E75" s="32">
        <v>66000</v>
      </c>
      <c r="F75" s="625" t="s">
        <v>116</v>
      </c>
      <c r="G75" s="34"/>
      <c r="H75" s="34"/>
      <c r="I75" s="34"/>
      <c r="J75" s="34"/>
      <c r="K75" s="34"/>
      <c r="L75" s="33"/>
      <c r="M75" s="34"/>
      <c r="N75" s="34"/>
      <c r="O75" s="34"/>
      <c r="P75" s="33">
        <v>66000</v>
      </c>
      <c r="Q75" s="34"/>
      <c r="R75" s="34"/>
      <c r="S75" s="34"/>
      <c r="T75" s="34"/>
      <c r="U75" s="34"/>
      <c r="V75" s="34"/>
      <c r="W75" s="34"/>
      <c r="X75" s="34"/>
    </row>
    <row r="76" spans="1:24" ht="23.25">
      <c r="A76" s="29" t="s">
        <v>126</v>
      </c>
      <c r="B76" s="30">
        <v>1</v>
      </c>
      <c r="C76" s="41">
        <v>6500</v>
      </c>
      <c r="D76" s="30">
        <v>12</v>
      </c>
      <c r="E76" s="32">
        <v>78000</v>
      </c>
      <c r="F76" s="625" t="s">
        <v>116</v>
      </c>
      <c r="G76" s="34"/>
      <c r="H76" s="34"/>
      <c r="I76" s="34"/>
      <c r="J76" s="34"/>
      <c r="K76" s="34"/>
      <c r="L76" s="33"/>
      <c r="M76" s="34"/>
      <c r="N76" s="34"/>
      <c r="O76" s="34"/>
      <c r="P76" s="33">
        <v>78000</v>
      </c>
      <c r="Q76" s="34"/>
      <c r="R76" s="34"/>
      <c r="S76" s="34"/>
      <c r="T76" s="34"/>
      <c r="U76" s="34"/>
      <c r="V76" s="34"/>
      <c r="W76" s="34"/>
      <c r="X76" s="34"/>
    </row>
    <row r="77" spans="1:24" ht="23.25">
      <c r="A77" s="29" t="s">
        <v>146</v>
      </c>
      <c r="B77" s="30">
        <v>1</v>
      </c>
      <c r="C77" s="41">
        <v>4500</v>
      </c>
      <c r="D77" s="30">
        <v>12</v>
      </c>
      <c r="E77" s="32">
        <v>54000</v>
      </c>
      <c r="F77" s="625" t="s">
        <v>116</v>
      </c>
      <c r="G77" s="34"/>
      <c r="H77" s="34"/>
      <c r="I77" s="34"/>
      <c r="J77" s="34"/>
      <c r="K77" s="34"/>
      <c r="L77" s="33"/>
      <c r="M77" s="34"/>
      <c r="N77" s="34"/>
      <c r="O77" s="34"/>
      <c r="P77" s="33">
        <v>54000</v>
      </c>
      <c r="Q77" s="34"/>
      <c r="R77" s="34"/>
      <c r="S77" s="34"/>
      <c r="T77" s="34"/>
      <c r="U77" s="34"/>
      <c r="V77" s="34"/>
      <c r="W77" s="34"/>
      <c r="X77" s="34"/>
    </row>
    <row r="78" spans="1:24" ht="22.5">
      <c r="A78" s="29" t="s">
        <v>127</v>
      </c>
      <c r="B78" s="30">
        <v>1</v>
      </c>
      <c r="C78" s="41">
        <v>7000</v>
      </c>
      <c r="D78" s="30">
        <v>12</v>
      </c>
      <c r="E78" s="32">
        <v>84000</v>
      </c>
      <c r="F78" s="625" t="s">
        <v>116</v>
      </c>
      <c r="G78" s="34"/>
      <c r="H78" s="34"/>
      <c r="I78" s="34"/>
      <c r="J78" s="34"/>
      <c r="K78" s="34"/>
      <c r="L78" s="33"/>
      <c r="M78" s="34"/>
      <c r="N78" s="34"/>
      <c r="O78" s="34"/>
      <c r="P78" s="33">
        <v>84000</v>
      </c>
      <c r="Q78" s="34"/>
      <c r="R78" s="34"/>
      <c r="S78" s="34"/>
      <c r="T78" s="34"/>
      <c r="U78" s="34"/>
      <c r="V78" s="34"/>
      <c r="W78" s="34"/>
      <c r="X78" s="34"/>
    </row>
    <row r="79" spans="1:24" ht="23.25">
      <c r="A79" s="29" t="s">
        <v>147</v>
      </c>
      <c r="B79" s="30">
        <v>1</v>
      </c>
      <c r="C79" s="41">
        <v>12000</v>
      </c>
      <c r="D79" s="30">
        <v>12</v>
      </c>
      <c r="E79" s="32">
        <v>144000</v>
      </c>
      <c r="F79" s="625" t="s">
        <v>116</v>
      </c>
      <c r="G79" s="34"/>
      <c r="H79" s="34"/>
      <c r="I79" s="34"/>
      <c r="J79" s="34"/>
      <c r="K79" s="34"/>
      <c r="L79" s="33"/>
      <c r="M79" s="34"/>
      <c r="N79" s="34"/>
      <c r="O79" s="34"/>
      <c r="P79" s="33">
        <v>144000</v>
      </c>
      <c r="Q79" s="34"/>
      <c r="R79" s="34"/>
      <c r="S79" s="34"/>
      <c r="T79" s="34"/>
      <c r="U79" s="34"/>
      <c r="V79" s="34"/>
      <c r="W79" s="34"/>
      <c r="X79" s="34"/>
    </row>
    <row r="80" spans="1:24" ht="23.25">
      <c r="A80" s="29" t="s">
        <v>148</v>
      </c>
      <c r="B80" s="30">
        <v>1</v>
      </c>
      <c r="C80" s="41">
        <v>3500</v>
      </c>
      <c r="D80" s="30">
        <v>12</v>
      </c>
      <c r="E80" s="32">
        <v>42000</v>
      </c>
      <c r="F80" s="625" t="s">
        <v>116</v>
      </c>
      <c r="G80" s="34"/>
      <c r="H80" s="34"/>
      <c r="I80" s="34"/>
      <c r="J80" s="34"/>
      <c r="K80" s="34"/>
      <c r="L80" s="33"/>
      <c r="M80" s="34"/>
      <c r="N80" s="34"/>
      <c r="O80" s="34"/>
      <c r="P80" s="33">
        <v>42000</v>
      </c>
      <c r="Q80" s="34"/>
      <c r="R80" s="34"/>
      <c r="S80" s="34"/>
      <c r="T80" s="34"/>
      <c r="U80" s="34"/>
      <c r="V80" s="34"/>
      <c r="W80" s="34"/>
      <c r="X80" s="34"/>
    </row>
    <row r="81" spans="1:24" ht="23.25">
      <c r="A81" s="29" t="s">
        <v>149</v>
      </c>
      <c r="B81" s="30">
        <v>1</v>
      </c>
      <c r="C81" s="41">
        <v>5500</v>
      </c>
      <c r="D81" s="30">
        <v>12</v>
      </c>
      <c r="E81" s="32">
        <v>66000</v>
      </c>
      <c r="F81" s="625" t="s">
        <v>116</v>
      </c>
      <c r="G81" s="34"/>
      <c r="H81" s="34"/>
      <c r="I81" s="34"/>
      <c r="J81" s="34"/>
      <c r="K81" s="34"/>
      <c r="L81" s="33"/>
      <c r="M81" s="34"/>
      <c r="N81" s="34"/>
      <c r="O81" s="34"/>
      <c r="P81" s="33">
        <v>66000</v>
      </c>
      <c r="Q81" s="34"/>
      <c r="R81" s="34"/>
      <c r="S81" s="34"/>
      <c r="T81" s="34"/>
      <c r="U81" s="34"/>
      <c r="V81" s="34"/>
      <c r="W81" s="34"/>
      <c r="X81" s="34"/>
    </row>
    <row r="82" spans="1:24" ht="23.25">
      <c r="A82" s="29" t="s">
        <v>150</v>
      </c>
      <c r="B82" s="30">
        <v>1</v>
      </c>
      <c r="C82" s="41">
        <v>7000</v>
      </c>
      <c r="D82" s="30">
        <v>12</v>
      </c>
      <c r="E82" s="32">
        <v>84000</v>
      </c>
      <c r="F82" s="625" t="s">
        <v>116</v>
      </c>
      <c r="G82" s="34"/>
      <c r="H82" s="34"/>
      <c r="I82" s="34"/>
      <c r="J82" s="34"/>
      <c r="K82" s="34"/>
      <c r="L82" s="33"/>
      <c r="M82" s="34"/>
      <c r="N82" s="34"/>
      <c r="O82" s="34"/>
      <c r="P82" s="33">
        <v>84000</v>
      </c>
      <c r="Q82" s="34"/>
      <c r="R82" s="34"/>
      <c r="S82" s="34"/>
      <c r="T82" s="34"/>
      <c r="U82" s="34"/>
      <c r="V82" s="34"/>
      <c r="W82" s="34"/>
      <c r="X82" s="34"/>
    </row>
    <row r="83" spans="1:24" ht="23.25">
      <c r="A83" s="29" t="s">
        <v>151</v>
      </c>
      <c r="B83" s="30">
        <v>1</v>
      </c>
      <c r="C83" s="41">
        <v>6500</v>
      </c>
      <c r="D83" s="30">
        <v>12</v>
      </c>
      <c r="E83" s="32">
        <v>78000</v>
      </c>
      <c r="F83" s="625" t="s">
        <v>116</v>
      </c>
      <c r="G83" s="34"/>
      <c r="H83" s="34"/>
      <c r="I83" s="34"/>
      <c r="J83" s="34"/>
      <c r="K83" s="34"/>
      <c r="L83" s="33"/>
      <c r="M83" s="34"/>
      <c r="N83" s="34"/>
      <c r="O83" s="34"/>
      <c r="P83" s="33">
        <v>78000</v>
      </c>
      <c r="Q83" s="34"/>
      <c r="R83" s="34"/>
      <c r="S83" s="34"/>
      <c r="T83" s="34"/>
      <c r="U83" s="34"/>
      <c r="V83" s="34"/>
      <c r="W83" s="34"/>
      <c r="X83" s="34"/>
    </row>
    <row r="84" spans="1:24" ht="23.25">
      <c r="A84" s="29" t="s">
        <v>131</v>
      </c>
      <c r="B84" s="30">
        <v>1</v>
      </c>
      <c r="C84" s="41">
        <v>5000</v>
      </c>
      <c r="D84" s="30">
        <v>12</v>
      </c>
      <c r="E84" s="32">
        <v>60000</v>
      </c>
      <c r="F84" s="625" t="s">
        <v>116</v>
      </c>
      <c r="G84" s="34"/>
      <c r="H84" s="34"/>
      <c r="I84" s="34"/>
      <c r="J84" s="34"/>
      <c r="K84" s="34"/>
      <c r="L84" s="33"/>
      <c r="M84" s="34"/>
      <c r="N84" s="34"/>
      <c r="O84" s="34"/>
      <c r="P84" s="33">
        <v>60000</v>
      </c>
      <c r="Q84" s="34"/>
      <c r="R84" s="34"/>
      <c r="S84" s="34"/>
      <c r="T84" s="34"/>
      <c r="U84" s="34"/>
      <c r="V84" s="34"/>
      <c r="W84" s="34"/>
      <c r="X84" s="34"/>
    </row>
    <row r="85" spans="1:24" ht="22.5">
      <c r="A85" s="29" t="s">
        <v>152</v>
      </c>
      <c r="B85" s="30">
        <v>1</v>
      </c>
      <c r="C85" s="41">
        <v>11000</v>
      </c>
      <c r="D85" s="30">
        <v>12</v>
      </c>
      <c r="E85" s="32">
        <v>132000</v>
      </c>
      <c r="F85" s="625" t="s">
        <v>116</v>
      </c>
      <c r="G85" s="34"/>
      <c r="H85" s="34"/>
      <c r="I85" s="34"/>
      <c r="J85" s="34"/>
      <c r="K85" s="34"/>
      <c r="L85" s="33"/>
      <c r="M85" s="34"/>
      <c r="N85" s="34"/>
      <c r="O85" s="34"/>
      <c r="P85" s="33">
        <v>132000</v>
      </c>
      <c r="Q85" s="34"/>
      <c r="R85" s="34"/>
      <c r="S85" s="34"/>
      <c r="T85" s="34"/>
      <c r="U85" s="34"/>
      <c r="V85" s="34"/>
      <c r="W85" s="34"/>
      <c r="X85" s="34"/>
    </row>
    <row r="86" spans="1:24" ht="22.5">
      <c r="A86" s="29" t="s">
        <v>152</v>
      </c>
      <c r="B86" s="30">
        <v>1</v>
      </c>
      <c r="C86" s="41">
        <v>4500</v>
      </c>
      <c r="D86" s="30">
        <v>12</v>
      </c>
      <c r="E86" s="32">
        <v>54000</v>
      </c>
      <c r="F86" s="625" t="s">
        <v>116</v>
      </c>
      <c r="G86" s="34"/>
      <c r="H86" s="34"/>
      <c r="I86" s="34"/>
      <c r="J86" s="34"/>
      <c r="K86" s="34"/>
      <c r="L86" s="33"/>
      <c r="M86" s="34"/>
      <c r="N86" s="34"/>
      <c r="O86" s="34"/>
      <c r="P86" s="33">
        <v>54000</v>
      </c>
      <c r="Q86" s="34"/>
      <c r="R86" s="34"/>
      <c r="S86" s="34"/>
      <c r="T86" s="34"/>
      <c r="U86" s="34"/>
      <c r="V86" s="34"/>
      <c r="W86" s="34"/>
      <c r="X86" s="34"/>
    </row>
    <row r="87" spans="1:24" ht="23.25">
      <c r="A87" s="29" t="s">
        <v>139</v>
      </c>
      <c r="B87" s="30">
        <v>1</v>
      </c>
      <c r="C87" s="41">
        <v>5500</v>
      </c>
      <c r="D87" s="30">
        <v>12</v>
      </c>
      <c r="E87" s="32">
        <v>66000</v>
      </c>
      <c r="F87" s="625" t="s">
        <v>116</v>
      </c>
      <c r="G87" s="34"/>
      <c r="H87" s="34"/>
      <c r="I87" s="34"/>
      <c r="J87" s="34"/>
      <c r="K87" s="34"/>
      <c r="L87" s="33"/>
      <c r="M87" s="34"/>
      <c r="N87" s="34"/>
      <c r="O87" s="34"/>
      <c r="P87" s="33">
        <v>66000</v>
      </c>
      <c r="Q87" s="34"/>
      <c r="R87" s="34"/>
      <c r="S87" s="34"/>
      <c r="T87" s="34"/>
      <c r="U87" s="34"/>
      <c r="V87" s="34"/>
      <c r="W87" s="34"/>
      <c r="X87" s="34"/>
    </row>
    <row r="88" spans="1:24" ht="23.25">
      <c r="A88" s="29" t="s">
        <v>139</v>
      </c>
      <c r="B88" s="30">
        <v>1</v>
      </c>
      <c r="C88" s="41">
        <v>5500</v>
      </c>
      <c r="D88" s="30">
        <v>12</v>
      </c>
      <c r="E88" s="32">
        <v>66000</v>
      </c>
      <c r="F88" s="625" t="s">
        <v>116</v>
      </c>
      <c r="G88" s="34"/>
      <c r="H88" s="34"/>
      <c r="I88" s="34"/>
      <c r="J88" s="34"/>
      <c r="K88" s="34"/>
      <c r="L88" s="33"/>
      <c r="M88" s="34"/>
      <c r="N88" s="34"/>
      <c r="O88" s="34"/>
      <c r="P88" s="33">
        <v>66000</v>
      </c>
      <c r="Q88" s="34"/>
      <c r="R88" s="34"/>
      <c r="S88" s="34"/>
      <c r="T88" s="34"/>
      <c r="U88" s="34"/>
      <c r="V88" s="34"/>
      <c r="W88" s="34"/>
      <c r="X88" s="34"/>
    </row>
    <row r="89" spans="1:24" ht="23.25">
      <c r="A89" s="29" t="s">
        <v>120</v>
      </c>
      <c r="B89" s="30">
        <v>1</v>
      </c>
      <c r="C89" s="41">
        <v>5500</v>
      </c>
      <c r="D89" s="30">
        <v>12</v>
      </c>
      <c r="E89" s="32">
        <v>66000</v>
      </c>
      <c r="F89" s="625" t="s">
        <v>116</v>
      </c>
      <c r="G89" s="34"/>
      <c r="H89" s="34"/>
      <c r="I89" s="34"/>
      <c r="J89" s="34"/>
      <c r="K89" s="34"/>
      <c r="L89" s="33"/>
      <c r="M89" s="34"/>
      <c r="N89" s="34"/>
      <c r="O89" s="34"/>
      <c r="P89" s="33">
        <v>66000</v>
      </c>
      <c r="Q89" s="34"/>
      <c r="R89" s="34"/>
      <c r="S89" s="34"/>
      <c r="T89" s="34"/>
      <c r="U89" s="34"/>
      <c r="V89" s="34"/>
      <c r="W89" s="34"/>
      <c r="X89" s="34"/>
    </row>
    <row r="90" spans="1:24" ht="23.25">
      <c r="A90" s="29" t="s">
        <v>129</v>
      </c>
      <c r="B90" s="30">
        <v>1</v>
      </c>
      <c r="C90" s="41">
        <v>3500</v>
      </c>
      <c r="D90" s="30">
        <v>12</v>
      </c>
      <c r="E90" s="32">
        <v>42000</v>
      </c>
      <c r="F90" s="625" t="s">
        <v>116</v>
      </c>
      <c r="G90" s="34"/>
      <c r="H90" s="34"/>
      <c r="I90" s="34"/>
      <c r="J90" s="34"/>
      <c r="K90" s="34"/>
      <c r="L90" s="33"/>
      <c r="M90" s="33"/>
      <c r="N90" s="33"/>
      <c r="O90" s="33"/>
      <c r="P90" s="33">
        <v>42000</v>
      </c>
      <c r="Q90" s="34"/>
      <c r="R90" s="34"/>
      <c r="S90" s="34"/>
      <c r="T90" s="34"/>
      <c r="U90" s="34"/>
      <c r="V90" s="34"/>
      <c r="W90" s="34"/>
      <c r="X90" s="34"/>
    </row>
    <row r="91" spans="1:24" ht="23.25">
      <c r="A91" s="29" t="s">
        <v>141</v>
      </c>
      <c r="B91" s="30">
        <v>1</v>
      </c>
      <c r="C91" s="41">
        <v>7000</v>
      </c>
      <c r="D91" s="30">
        <v>12</v>
      </c>
      <c r="E91" s="32">
        <v>84000</v>
      </c>
      <c r="F91" s="625" t="s">
        <v>116</v>
      </c>
      <c r="G91" s="34"/>
      <c r="H91" s="34"/>
      <c r="I91" s="34"/>
      <c r="J91" s="34"/>
      <c r="K91" s="34"/>
      <c r="L91" s="42"/>
      <c r="M91" s="33"/>
      <c r="N91" s="33"/>
      <c r="O91" s="33"/>
      <c r="P91" s="33">
        <v>84000</v>
      </c>
      <c r="Q91" s="34"/>
      <c r="R91" s="34"/>
      <c r="S91" s="34"/>
      <c r="T91" s="34"/>
      <c r="U91" s="34"/>
      <c r="V91" s="34"/>
      <c r="W91" s="34"/>
      <c r="X91" s="34"/>
    </row>
    <row r="92" spans="1:24" ht="23.25">
      <c r="A92" s="29" t="s">
        <v>153</v>
      </c>
      <c r="B92" s="30">
        <v>1</v>
      </c>
      <c r="C92" s="41">
        <v>5500</v>
      </c>
      <c r="D92" s="30">
        <v>12</v>
      </c>
      <c r="E92" s="32">
        <v>66000</v>
      </c>
      <c r="F92" s="625" t="s">
        <v>116</v>
      </c>
      <c r="G92" s="34"/>
      <c r="H92" s="34"/>
      <c r="I92" s="34"/>
      <c r="J92" s="34"/>
      <c r="K92" s="34"/>
      <c r="L92" s="42"/>
      <c r="M92" s="33"/>
      <c r="N92" s="33"/>
      <c r="O92" s="33"/>
      <c r="P92" s="33">
        <v>66000</v>
      </c>
      <c r="Q92" s="34"/>
      <c r="R92" s="34"/>
      <c r="S92" s="34"/>
      <c r="T92" s="34"/>
      <c r="U92" s="34"/>
      <c r="V92" s="34"/>
      <c r="W92" s="34"/>
      <c r="X92" s="34"/>
    </row>
    <row r="93" spans="1:24" ht="23.25">
      <c r="A93" s="29" t="s">
        <v>154</v>
      </c>
      <c r="B93" s="30">
        <v>1</v>
      </c>
      <c r="C93" s="41">
        <v>21500</v>
      </c>
      <c r="D93" s="30">
        <v>12</v>
      </c>
      <c r="E93" s="32">
        <v>258000</v>
      </c>
      <c r="F93" s="625" t="s">
        <v>116</v>
      </c>
      <c r="G93" s="34"/>
      <c r="H93" s="34"/>
      <c r="I93" s="34"/>
      <c r="J93" s="34"/>
      <c r="K93" s="34"/>
      <c r="L93" s="42"/>
      <c r="M93" s="33"/>
      <c r="N93" s="33"/>
      <c r="O93" s="33"/>
      <c r="P93" s="33">
        <v>258000</v>
      </c>
      <c r="Q93" s="34"/>
      <c r="R93" s="34"/>
      <c r="S93" s="34"/>
      <c r="T93" s="34"/>
      <c r="U93" s="34"/>
      <c r="V93" s="34"/>
      <c r="W93" s="34"/>
      <c r="X93" s="34"/>
    </row>
    <row r="94" spans="1:24" ht="23.25">
      <c r="A94" s="29" t="s">
        <v>155</v>
      </c>
      <c r="B94" s="30">
        <v>1</v>
      </c>
      <c r="C94" s="41">
        <v>12000</v>
      </c>
      <c r="D94" s="30">
        <v>12</v>
      </c>
      <c r="E94" s="32">
        <v>144000</v>
      </c>
      <c r="F94" s="625" t="s">
        <v>116</v>
      </c>
      <c r="G94" s="34"/>
      <c r="H94" s="34"/>
      <c r="I94" s="34"/>
      <c r="J94" s="34"/>
      <c r="K94" s="34"/>
      <c r="L94" s="42"/>
      <c r="M94" s="33"/>
      <c r="N94" s="33"/>
      <c r="O94" s="33"/>
      <c r="P94" s="33">
        <v>144000</v>
      </c>
      <c r="Q94" s="34"/>
      <c r="R94" s="34"/>
      <c r="S94" s="34"/>
      <c r="T94" s="34"/>
      <c r="U94" s="34"/>
      <c r="V94" s="34"/>
      <c r="W94" s="34"/>
      <c r="X94" s="34"/>
    </row>
    <row r="95" spans="1:24" ht="23.25">
      <c r="A95" s="29" t="s">
        <v>115</v>
      </c>
      <c r="B95" s="30">
        <v>1</v>
      </c>
      <c r="C95" s="41">
        <v>5500</v>
      </c>
      <c r="D95" s="30">
        <v>12</v>
      </c>
      <c r="E95" s="32">
        <v>66000</v>
      </c>
      <c r="F95" s="625" t="s">
        <v>116</v>
      </c>
      <c r="G95" s="34"/>
      <c r="H95" s="34"/>
      <c r="I95" s="34"/>
      <c r="J95" s="34"/>
      <c r="K95" s="34"/>
      <c r="L95" s="42"/>
      <c r="M95" s="33"/>
      <c r="N95" s="33"/>
      <c r="O95" s="33"/>
      <c r="P95" s="33">
        <v>66000</v>
      </c>
      <c r="Q95" s="34"/>
      <c r="R95" s="34"/>
      <c r="S95" s="34"/>
      <c r="T95" s="34"/>
      <c r="U95" s="34"/>
      <c r="V95" s="34"/>
      <c r="W95" s="34"/>
      <c r="X95" s="34"/>
    </row>
    <row r="96" spans="1:24" ht="23.25">
      <c r="A96" s="29" t="s">
        <v>115</v>
      </c>
      <c r="B96" s="30">
        <v>1</v>
      </c>
      <c r="C96" s="41">
        <v>5500</v>
      </c>
      <c r="D96" s="30">
        <v>12</v>
      </c>
      <c r="E96" s="32">
        <v>66000</v>
      </c>
      <c r="F96" s="625" t="s">
        <v>116</v>
      </c>
      <c r="G96" s="34"/>
      <c r="H96" s="34"/>
      <c r="I96" s="34"/>
      <c r="J96" s="34"/>
      <c r="K96" s="34"/>
      <c r="L96" s="42"/>
      <c r="M96" s="33"/>
      <c r="N96" s="33"/>
      <c r="O96" s="33"/>
      <c r="P96" s="33">
        <v>66000</v>
      </c>
      <c r="Q96" s="34"/>
      <c r="R96" s="34"/>
      <c r="S96" s="34"/>
      <c r="T96" s="34"/>
      <c r="U96" s="34"/>
      <c r="V96" s="34"/>
      <c r="W96" s="34"/>
      <c r="X96" s="34"/>
    </row>
    <row r="97" spans="1:24" ht="34.5">
      <c r="A97" s="29" t="s">
        <v>156</v>
      </c>
      <c r="B97" s="30">
        <v>1</v>
      </c>
      <c r="C97" s="41">
        <v>5500</v>
      </c>
      <c r="D97" s="30">
        <v>12</v>
      </c>
      <c r="E97" s="32">
        <v>66000</v>
      </c>
      <c r="F97" s="625" t="s">
        <v>116</v>
      </c>
      <c r="G97" s="34"/>
      <c r="H97" s="34"/>
      <c r="I97" s="34"/>
      <c r="J97" s="34"/>
      <c r="K97" s="34"/>
      <c r="L97" s="42"/>
      <c r="M97" s="33"/>
      <c r="N97" s="33"/>
      <c r="O97" s="33"/>
      <c r="P97" s="33">
        <v>66000</v>
      </c>
      <c r="Q97" s="34"/>
      <c r="R97" s="34"/>
      <c r="S97" s="34"/>
      <c r="T97" s="34"/>
      <c r="U97" s="34"/>
      <c r="V97" s="34"/>
      <c r="W97" s="34"/>
      <c r="X97" s="34"/>
    </row>
    <row r="98" spans="1:24" ht="23.25">
      <c r="A98" s="29" t="s">
        <v>125</v>
      </c>
      <c r="B98" s="30">
        <v>1</v>
      </c>
      <c r="C98" s="41">
        <v>5500</v>
      </c>
      <c r="D98" s="30">
        <v>12</v>
      </c>
      <c r="E98" s="32">
        <v>66000</v>
      </c>
      <c r="F98" s="625" t="s">
        <v>116</v>
      </c>
      <c r="G98" s="34"/>
      <c r="H98" s="34"/>
      <c r="I98" s="34"/>
      <c r="J98" s="34"/>
      <c r="K98" s="34"/>
      <c r="L98" s="42"/>
      <c r="M98" s="33"/>
      <c r="N98" s="33"/>
      <c r="O98" s="33"/>
      <c r="P98" s="33">
        <v>66000</v>
      </c>
      <c r="Q98" s="34"/>
      <c r="R98" s="34"/>
      <c r="S98" s="34"/>
      <c r="T98" s="34"/>
      <c r="U98" s="34"/>
      <c r="V98" s="34"/>
      <c r="W98" s="34"/>
      <c r="X98" s="34"/>
    </row>
    <row r="99" spans="1:24" ht="23.25">
      <c r="A99" s="29" t="s">
        <v>157</v>
      </c>
      <c r="B99" s="30">
        <v>1</v>
      </c>
      <c r="C99" s="41">
        <v>3500</v>
      </c>
      <c r="D99" s="30">
        <v>12</v>
      </c>
      <c r="E99" s="32">
        <v>42000</v>
      </c>
      <c r="F99" s="625" t="s">
        <v>116</v>
      </c>
      <c r="G99" s="34"/>
      <c r="H99" s="34"/>
      <c r="I99" s="34"/>
      <c r="J99" s="34"/>
      <c r="K99" s="34"/>
      <c r="L99" s="42"/>
      <c r="M99" s="33"/>
      <c r="N99" s="33"/>
      <c r="O99" s="33"/>
      <c r="P99" s="33">
        <v>42000</v>
      </c>
      <c r="Q99" s="34"/>
      <c r="R99" s="34"/>
      <c r="S99" s="34"/>
      <c r="T99" s="34"/>
      <c r="U99" s="34"/>
      <c r="V99" s="34"/>
      <c r="W99" s="34"/>
      <c r="X99" s="34"/>
    </row>
    <row r="100" spans="1:24" ht="23.25">
      <c r="A100" s="29" t="s">
        <v>137</v>
      </c>
      <c r="B100" s="30">
        <v>1</v>
      </c>
      <c r="C100" s="41">
        <v>17250</v>
      </c>
      <c r="D100" s="30">
        <v>12</v>
      </c>
      <c r="E100" s="32">
        <v>207000</v>
      </c>
      <c r="F100" s="625" t="s">
        <v>116</v>
      </c>
      <c r="G100" s="34"/>
      <c r="H100" s="34"/>
      <c r="I100" s="34"/>
      <c r="J100" s="34"/>
      <c r="K100" s="34"/>
      <c r="L100" s="42"/>
      <c r="M100" s="33"/>
      <c r="N100" s="33"/>
      <c r="O100" s="33"/>
      <c r="P100" s="33">
        <v>207000</v>
      </c>
      <c r="Q100" s="34"/>
      <c r="R100" s="34"/>
      <c r="S100" s="34"/>
      <c r="T100" s="34"/>
      <c r="U100" s="34"/>
      <c r="V100" s="34"/>
      <c r="W100" s="34"/>
      <c r="X100" s="34"/>
    </row>
    <row r="101" spans="1:24" ht="23.25">
      <c r="A101" s="29" t="s">
        <v>132</v>
      </c>
      <c r="B101" s="30">
        <v>1</v>
      </c>
      <c r="C101" s="41">
        <v>5000</v>
      </c>
      <c r="D101" s="30">
        <v>12</v>
      </c>
      <c r="E101" s="32">
        <v>60000</v>
      </c>
      <c r="F101" s="625" t="s">
        <v>116</v>
      </c>
      <c r="G101" s="34"/>
      <c r="H101" s="34"/>
      <c r="I101" s="34"/>
      <c r="J101" s="34"/>
      <c r="K101" s="34"/>
      <c r="L101" s="42"/>
      <c r="M101" s="33"/>
      <c r="N101" s="33"/>
      <c r="O101" s="33"/>
      <c r="P101" s="33">
        <v>60000</v>
      </c>
      <c r="Q101" s="34"/>
      <c r="R101" s="34"/>
      <c r="S101" s="34"/>
      <c r="T101" s="34"/>
      <c r="U101" s="34"/>
      <c r="V101" s="34"/>
      <c r="W101" s="34"/>
      <c r="X101" s="34"/>
    </row>
    <row r="102" spans="1:24" ht="23.25">
      <c r="A102" s="29" t="s">
        <v>153</v>
      </c>
      <c r="B102" s="30">
        <v>1</v>
      </c>
      <c r="C102" s="41">
        <v>5500</v>
      </c>
      <c r="D102" s="30">
        <v>12</v>
      </c>
      <c r="E102" s="32">
        <v>66000</v>
      </c>
      <c r="F102" s="625" t="s">
        <v>116</v>
      </c>
      <c r="G102" s="34"/>
      <c r="H102" s="34"/>
      <c r="I102" s="34"/>
      <c r="J102" s="34"/>
      <c r="K102" s="34"/>
      <c r="L102" s="42"/>
      <c r="M102" s="33"/>
      <c r="N102" s="33"/>
      <c r="O102" s="33"/>
      <c r="P102" s="33">
        <v>66000</v>
      </c>
      <c r="Q102" s="34"/>
      <c r="R102" s="34"/>
      <c r="S102" s="34"/>
      <c r="T102" s="34"/>
      <c r="U102" s="34"/>
      <c r="V102" s="34"/>
      <c r="W102" s="34"/>
      <c r="X102" s="34"/>
    </row>
    <row r="103" spans="1:24" ht="23.25">
      <c r="A103" s="29" t="s">
        <v>158</v>
      </c>
      <c r="B103" s="30">
        <v>1</v>
      </c>
      <c r="C103" s="41">
        <v>6000</v>
      </c>
      <c r="D103" s="30">
        <v>12</v>
      </c>
      <c r="E103" s="32">
        <v>72000</v>
      </c>
      <c r="F103" s="625" t="s">
        <v>116</v>
      </c>
      <c r="G103" s="34"/>
      <c r="H103" s="34"/>
      <c r="I103" s="34"/>
      <c r="J103" s="34"/>
      <c r="K103" s="34"/>
      <c r="L103" s="42"/>
      <c r="M103" s="33"/>
      <c r="N103" s="33"/>
      <c r="O103" s="33"/>
      <c r="P103" s="33">
        <v>72000</v>
      </c>
      <c r="Q103" s="34"/>
      <c r="R103" s="34"/>
      <c r="S103" s="34"/>
      <c r="T103" s="34"/>
      <c r="U103" s="34"/>
      <c r="V103" s="34"/>
      <c r="W103" s="34"/>
      <c r="X103" s="34"/>
    </row>
    <row r="104" spans="1:24" ht="34.5">
      <c r="A104" s="29" t="s">
        <v>159</v>
      </c>
      <c r="B104" s="30">
        <v>1</v>
      </c>
      <c r="C104" s="41">
        <v>5500</v>
      </c>
      <c r="D104" s="30">
        <v>12</v>
      </c>
      <c r="E104" s="32">
        <v>66000</v>
      </c>
      <c r="F104" s="625" t="s">
        <v>116</v>
      </c>
      <c r="G104" s="34"/>
      <c r="H104" s="34"/>
      <c r="I104" s="34"/>
      <c r="J104" s="34"/>
      <c r="K104" s="34"/>
      <c r="L104" s="42"/>
      <c r="M104" s="33"/>
      <c r="N104" s="33"/>
      <c r="O104" s="33"/>
      <c r="P104" s="33">
        <v>66000</v>
      </c>
      <c r="Q104" s="34"/>
      <c r="R104" s="34"/>
      <c r="S104" s="34"/>
      <c r="T104" s="34"/>
      <c r="U104" s="34"/>
      <c r="V104" s="34"/>
      <c r="W104" s="34"/>
      <c r="X104" s="34"/>
    </row>
    <row r="105" spans="1:24" ht="23.25">
      <c r="A105" s="29" t="s">
        <v>153</v>
      </c>
      <c r="B105" s="30">
        <v>1</v>
      </c>
      <c r="C105" s="41">
        <v>5500</v>
      </c>
      <c r="D105" s="30">
        <v>12</v>
      </c>
      <c r="E105" s="32">
        <v>66000</v>
      </c>
      <c r="F105" s="625" t="s">
        <v>116</v>
      </c>
      <c r="G105" s="34"/>
      <c r="H105" s="34"/>
      <c r="I105" s="34"/>
      <c r="J105" s="34"/>
      <c r="K105" s="34"/>
      <c r="L105" s="42"/>
      <c r="M105" s="33"/>
      <c r="N105" s="33"/>
      <c r="O105" s="33"/>
      <c r="P105" s="33">
        <v>66000</v>
      </c>
      <c r="Q105" s="34"/>
      <c r="R105" s="34"/>
      <c r="S105" s="34"/>
      <c r="T105" s="34"/>
      <c r="U105" s="34"/>
      <c r="V105" s="34"/>
      <c r="W105" s="34"/>
      <c r="X105" s="34"/>
    </row>
    <row r="106" spans="1:24" ht="23.25">
      <c r="A106" s="29" t="s">
        <v>160</v>
      </c>
      <c r="B106" s="30">
        <v>1</v>
      </c>
      <c r="C106" s="41">
        <v>5500</v>
      </c>
      <c r="D106" s="30">
        <v>12</v>
      </c>
      <c r="E106" s="32">
        <v>66000</v>
      </c>
      <c r="F106" s="625" t="s">
        <v>116</v>
      </c>
      <c r="G106" s="34"/>
      <c r="H106" s="34"/>
      <c r="I106" s="34"/>
      <c r="J106" s="34"/>
      <c r="K106" s="34"/>
      <c r="L106" s="42"/>
      <c r="M106" s="33"/>
      <c r="N106" s="33"/>
      <c r="O106" s="33"/>
      <c r="P106" s="33">
        <v>66000</v>
      </c>
      <c r="Q106" s="34"/>
      <c r="R106" s="34"/>
      <c r="S106" s="34"/>
      <c r="T106" s="34"/>
      <c r="U106" s="34"/>
      <c r="V106" s="34"/>
      <c r="W106" s="34"/>
      <c r="X106" s="34"/>
    </row>
    <row r="107" spans="1:24" ht="23.25">
      <c r="A107" s="29" t="s">
        <v>132</v>
      </c>
      <c r="B107" s="30">
        <v>1</v>
      </c>
      <c r="C107" s="41">
        <v>5500</v>
      </c>
      <c r="D107" s="30">
        <v>12</v>
      </c>
      <c r="E107" s="32">
        <v>66000</v>
      </c>
      <c r="F107" s="625" t="s">
        <v>116</v>
      </c>
      <c r="G107" s="34"/>
      <c r="H107" s="34"/>
      <c r="I107" s="34"/>
      <c r="J107" s="34"/>
      <c r="K107" s="34"/>
      <c r="L107" s="42"/>
      <c r="M107" s="33"/>
      <c r="N107" s="33"/>
      <c r="O107" s="33"/>
      <c r="P107" s="33">
        <v>66000</v>
      </c>
      <c r="Q107" s="34"/>
      <c r="R107" s="34"/>
      <c r="S107" s="34"/>
      <c r="T107" s="34"/>
      <c r="U107" s="34"/>
      <c r="V107" s="34"/>
      <c r="W107" s="34"/>
      <c r="X107" s="34"/>
    </row>
    <row r="108" spans="1:24" ht="23.25">
      <c r="A108" s="29" t="s">
        <v>161</v>
      </c>
      <c r="B108" s="30">
        <v>1</v>
      </c>
      <c r="C108" s="41">
        <v>9000</v>
      </c>
      <c r="D108" s="30">
        <v>12</v>
      </c>
      <c r="E108" s="32">
        <v>108000</v>
      </c>
      <c r="F108" s="625" t="s">
        <v>116</v>
      </c>
      <c r="G108" s="34"/>
      <c r="H108" s="34"/>
      <c r="I108" s="34"/>
      <c r="J108" s="34"/>
      <c r="K108" s="34"/>
      <c r="L108" s="43"/>
      <c r="M108" s="33"/>
      <c r="N108" s="33"/>
      <c r="O108" s="33"/>
      <c r="P108" s="33">
        <v>108000</v>
      </c>
      <c r="Q108" s="34"/>
      <c r="R108" s="34"/>
      <c r="S108" s="34"/>
      <c r="T108" s="34"/>
      <c r="U108" s="34"/>
      <c r="V108" s="34"/>
      <c r="W108" s="34"/>
      <c r="X108" s="34"/>
    </row>
    <row r="109" spans="1:24" ht="23.25">
      <c r="A109" s="238" t="s">
        <v>162</v>
      </c>
      <c r="B109" s="47"/>
      <c r="C109" s="46"/>
      <c r="D109" s="47"/>
      <c r="E109" s="48"/>
      <c r="F109" s="626"/>
      <c r="G109" s="239"/>
      <c r="H109" s="239"/>
      <c r="I109" s="239">
        <v>434130</v>
      </c>
      <c r="J109" s="239"/>
      <c r="K109" s="239">
        <v>147219</v>
      </c>
      <c r="L109" s="240"/>
      <c r="M109" s="240"/>
      <c r="N109" s="240"/>
      <c r="O109" s="240"/>
      <c r="P109" s="239">
        <v>868260</v>
      </c>
      <c r="Q109" s="239"/>
      <c r="R109" s="239"/>
      <c r="S109" s="239"/>
      <c r="T109" s="239"/>
      <c r="U109" s="239"/>
      <c r="V109" s="239"/>
      <c r="W109" s="239"/>
      <c r="X109" s="239"/>
    </row>
    <row r="110" spans="1:24">
      <c r="A110" s="29" t="s">
        <v>930</v>
      </c>
      <c r="B110" s="30"/>
      <c r="C110" s="41"/>
      <c r="D110" s="30"/>
      <c r="E110" s="32"/>
      <c r="F110" s="625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>
        <v>240000</v>
      </c>
      <c r="U110" s="34"/>
      <c r="V110" s="34"/>
      <c r="W110" s="34"/>
      <c r="X110" s="34"/>
    </row>
    <row r="111" spans="1:24" ht="15.75" thickBot="1">
      <c r="A111" s="238" t="s">
        <v>931</v>
      </c>
      <c r="B111" s="47"/>
      <c r="C111" s="46"/>
      <c r="D111" s="47"/>
      <c r="E111" s="48"/>
      <c r="F111" s="626"/>
      <c r="G111" s="239"/>
      <c r="H111" s="239"/>
      <c r="I111" s="239"/>
      <c r="J111" s="239"/>
      <c r="K111" s="239"/>
      <c r="L111" s="239"/>
      <c r="M111" s="239"/>
      <c r="N111" s="239"/>
      <c r="O111" s="239"/>
      <c r="P111" s="239"/>
      <c r="Q111" s="239"/>
      <c r="R111" s="239"/>
      <c r="S111" s="239"/>
      <c r="T111" s="239"/>
      <c r="U111" s="239"/>
      <c r="V111" s="239"/>
      <c r="W111" s="239"/>
      <c r="X111" s="239"/>
    </row>
    <row r="112" spans="1:24" ht="15.75" thickBot="1">
      <c r="A112" s="298"/>
      <c r="B112" s="299">
        <v>102</v>
      </c>
      <c r="C112" s="300"/>
      <c r="D112" s="301"/>
      <c r="E112" s="300"/>
      <c r="F112" s="627"/>
      <c r="G112" s="302">
        <v>0</v>
      </c>
      <c r="H112" s="303">
        <v>0</v>
      </c>
      <c r="I112" s="304">
        <v>434130</v>
      </c>
      <c r="J112" s="305">
        <v>0</v>
      </c>
      <c r="K112" s="306">
        <v>147219</v>
      </c>
      <c r="L112" s="305">
        <v>705300</v>
      </c>
      <c r="M112" s="305">
        <v>3636000</v>
      </c>
      <c r="N112" s="306">
        <v>85500</v>
      </c>
      <c r="O112" s="305">
        <v>339000</v>
      </c>
      <c r="P112" s="306">
        <v>7588560</v>
      </c>
      <c r="Q112" s="305">
        <v>0</v>
      </c>
      <c r="R112" s="306">
        <v>0</v>
      </c>
      <c r="S112" s="305">
        <v>0</v>
      </c>
      <c r="T112" s="306">
        <f>T110</f>
        <v>240000</v>
      </c>
      <c r="U112" s="306">
        <v>389400</v>
      </c>
      <c r="V112" s="305">
        <v>389400</v>
      </c>
      <c r="W112" s="302">
        <v>6200</v>
      </c>
      <c r="X112" s="302">
        <v>24000</v>
      </c>
    </row>
    <row r="113" spans="1:24" ht="15.75" thickBot="1">
      <c r="A113" s="850" t="s">
        <v>163</v>
      </c>
      <c r="B113" s="850"/>
      <c r="C113" s="850"/>
      <c r="D113" s="850"/>
      <c r="E113" s="850"/>
      <c r="F113" s="850"/>
      <c r="G113" s="850"/>
      <c r="H113" s="850"/>
      <c r="I113" s="850"/>
      <c r="J113" s="850"/>
      <c r="K113" s="850"/>
      <c r="L113" s="850"/>
      <c r="M113" s="850"/>
      <c r="N113" s="850"/>
      <c r="O113" s="850"/>
      <c r="P113" s="850"/>
      <c r="Q113" s="850"/>
      <c r="R113" s="850"/>
      <c r="S113" s="850"/>
      <c r="T113" s="850"/>
      <c r="U113" s="850"/>
      <c r="V113" s="850"/>
      <c r="W113" s="850"/>
      <c r="X113" s="621">
        <v>13984709</v>
      </c>
    </row>
    <row r="114" spans="1:24">
      <c r="A114" s="49" t="s">
        <v>164</v>
      </c>
      <c r="B114" s="49"/>
      <c r="C114" s="49"/>
      <c r="D114" s="49"/>
      <c r="E114" s="49"/>
      <c r="F114" s="62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</row>
    <row r="115" spans="1:24">
      <c r="A115" s="49"/>
      <c r="B115" s="49"/>
      <c r="C115" s="49"/>
      <c r="D115" s="49"/>
      <c r="E115" s="49"/>
      <c r="F115" s="62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</row>
    <row r="116" spans="1:24">
      <c r="A116" s="35"/>
      <c r="B116" s="35"/>
      <c r="C116" s="35"/>
      <c r="D116" s="35"/>
      <c r="E116" s="35"/>
      <c r="F116" s="628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</row>
    <row r="117" spans="1:24">
      <c r="A117" s="35"/>
      <c r="B117" s="35"/>
      <c r="C117" s="35"/>
      <c r="D117" s="35"/>
      <c r="E117" s="35"/>
      <c r="F117" s="628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</row>
    <row r="118" spans="1:24">
      <c r="A118" s="35"/>
      <c r="B118" s="35"/>
      <c r="C118" s="44"/>
      <c r="D118" s="35"/>
      <c r="E118" s="35"/>
      <c r="F118" s="628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</row>
    <row r="119" spans="1:24">
      <c r="A119" s="35"/>
      <c r="B119" s="35"/>
      <c r="C119" s="44"/>
      <c r="D119" s="35"/>
      <c r="E119" s="35"/>
      <c r="F119" s="628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</row>
    <row r="120" spans="1:24">
      <c r="A120" s="27"/>
      <c r="B120" s="27"/>
      <c r="C120" s="28"/>
      <c r="D120" s="27"/>
      <c r="E120" s="27"/>
      <c r="F120" s="630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</row>
  </sheetData>
  <mergeCells count="9">
    <mergeCell ref="A113:W113"/>
    <mergeCell ref="A4:G4"/>
    <mergeCell ref="A5:A6"/>
    <mergeCell ref="B5:B6"/>
    <mergeCell ref="C5:C6"/>
    <mergeCell ref="D5:D6"/>
    <mergeCell ref="E5:E6"/>
    <mergeCell ref="F5:F6"/>
    <mergeCell ref="G5:X5"/>
  </mergeCells>
  <pageMargins left="0.70866141732283472" right="0.70866141732283472" top="0.74803149606299213" bottom="0.74803149606299213" header="0.31496062992125984" footer="0.31496062992125984"/>
  <pageSetup paperSize="17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6"/>
  <sheetViews>
    <sheetView view="pageBreakPreview" topLeftCell="D122" zoomScale="95" zoomScaleNormal="100" zoomScaleSheetLayoutView="95" workbookViewId="0">
      <selection activeCell="D22" sqref="D22"/>
    </sheetView>
  </sheetViews>
  <sheetFormatPr baseColWidth="10" defaultRowHeight="12.75"/>
  <cols>
    <col min="1" max="1" width="38.140625" style="681" customWidth="1"/>
    <col min="2" max="2" width="14.42578125" style="150" customWidth="1"/>
    <col min="3" max="3" width="16.85546875" style="150" customWidth="1"/>
    <col min="4" max="4" width="29.7109375" style="150" customWidth="1"/>
    <col min="5" max="5" width="14.28515625" style="150" bestFit="1" customWidth="1"/>
    <col min="6" max="6" width="13.140625" style="150" bestFit="1" customWidth="1"/>
    <col min="7" max="7" width="14.28515625" style="150" bestFit="1" customWidth="1"/>
    <col min="8" max="8" width="16" style="150" bestFit="1" customWidth="1"/>
    <col min="9" max="9" width="14.28515625" style="150" bestFit="1" customWidth="1"/>
    <col min="10" max="10" width="13.140625" style="150" bestFit="1" customWidth="1"/>
    <col min="11" max="11" width="14.28515625" style="150" bestFit="1" customWidth="1"/>
    <col min="12" max="12" width="16" style="150" bestFit="1" customWidth="1"/>
    <col min="13" max="13" width="16.7109375" style="150" customWidth="1"/>
    <col min="14" max="14" width="15.5703125" style="150" bestFit="1" customWidth="1"/>
    <col min="15" max="16384" width="11.42578125" style="150"/>
  </cols>
  <sheetData>
    <row r="1" spans="1:14">
      <c r="A1" s="669" t="s">
        <v>0</v>
      </c>
      <c r="B1" s="4"/>
      <c r="C1" s="4"/>
      <c r="D1" s="4"/>
      <c r="E1" s="4"/>
      <c r="F1" s="236"/>
      <c r="G1" s="236"/>
      <c r="H1" s="237"/>
      <c r="I1" s="236"/>
      <c r="J1" s="236"/>
      <c r="K1" s="236"/>
      <c r="L1" s="237"/>
      <c r="M1" s="236"/>
      <c r="N1" s="236"/>
    </row>
    <row r="2" spans="1:14">
      <c r="A2" s="669" t="s">
        <v>1</v>
      </c>
      <c r="B2" s="4"/>
      <c r="C2" s="4"/>
      <c r="D2" s="4"/>
      <c r="E2" s="4"/>
      <c r="F2" s="236"/>
      <c r="G2" s="236"/>
      <c r="H2" s="237"/>
      <c r="I2" s="236"/>
      <c r="J2" s="236"/>
      <c r="K2" s="236"/>
      <c r="L2" s="237"/>
      <c r="M2" s="236"/>
      <c r="N2" s="236"/>
    </row>
    <row r="3" spans="1:14">
      <c r="A3" s="669" t="s">
        <v>2</v>
      </c>
      <c r="B3" s="4"/>
      <c r="C3" s="4"/>
      <c r="D3" s="4"/>
      <c r="E3" s="19"/>
      <c r="F3" s="236"/>
      <c r="G3" s="236"/>
      <c r="H3" s="237"/>
      <c r="I3" s="236"/>
      <c r="J3" s="236"/>
      <c r="K3" s="236"/>
      <c r="L3" s="237"/>
      <c r="M3" s="236"/>
      <c r="N3" s="236"/>
    </row>
    <row r="4" spans="1:14">
      <c r="A4" s="669" t="s">
        <v>34</v>
      </c>
      <c r="B4" s="4"/>
      <c r="C4" s="4"/>
      <c r="D4" s="4"/>
      <c r="E4" s="4"/>
      <c r="F4" s="236"/>
      <c r="G4" s="236"/>
      <c r="H4" s="237"/>
      <c r="I4" s="236"/>
      <c r="J4" s="236"/>
      <c r="K4" s="236"/>
      <c r="L4" s="237"/>
      <c r="M4" s="236"/>
      <c r="N4" s="236"/>
    </row>
    <row r="5" spans="1:14" ht="12.75" customHeight="1" thickBot="1">
      <c r="A5" s="670"/>
      <c r="B5" s="622"/>
      <c r="C5" s="622"/>
      <c r="D5" s="622"/>
      <c r="E5" s="622"/>
      <c r="F5" s="622"/>
      <c r="G5" s="622"/>
      <c r="H5" s="623"/>
      <c r="I5" s="622"/>
      <c r="J5" s="622"/>
      <c r="K5" s="1" t="s">
        <v>24</v>
      </c>
      <c r="L5" s="1" t="s">
        <v>24</v>
      </c>
      <c r="M5" s="622"/>
      <c r="N5" s="622"/>
    </row>
    <row r="6" spans="1:14" ht="20.25" customHeight="1">
      <c r="A6" s="856" t="s">
        <v>35</v>
      </c>
      <c r="B6" s="858" t="s">
        <v>36</v>
      </c>
      <c r="C6" s="858" t="s">
        <v>37</v>
      </c>
      <c r="D6" s="858" t="s">
        <v>38</v>
      </c>
      <c r="E6" s="852" t="s">
        <v>3</v>
      </c>
      <c r="F6" s="852"/>
      <c r="G6" s="852"/>
      <c r="H6" s="852"/>
      <c r="I6" s="852"/>
      <c r="J6" s="852"/>
      <c r="K6" s="852"/>
      <c r="L6" s="852"/>
      <c r="M6" s="853"/>
      <c r="N6" s="619"/>
    </row>
    <row r="7" spans="1:14" ht="22.5" customHeight="1">
      <c r="A7" s="857"/>
      <c r="B7" s="859"/>
      <c r="C7" s="860"/>
      <c r="D7" s="859"/>
      <c r="E7" s="633">
        <v>11</v>
      </c>
      <c r="F7" s="633">
        <v>13</v>
      </c>
      <c r="G7" s="633">
        <v>15</v>
      </c>
      <c r="H7" s="633">
        <v>21</v>
      </c>
      <c r="I7" s="633">
        <v>22</v>
      </c>
      <c r="J7" s="633">
        <v>26</v>
      </c>
      <c r="K7" s="633">
        <v>27</v>
      </c>
      <c r="L7" s="633">
        <v>29</v>
      </c>
      <c r="M7" s="637">
        <v>133</v>
      </c>
    </row>
    <row r="8" spans="1:14" ht="22.5">
      <c r="A8" s="671" t="s">
        <v>39</v>
      </c>
      <c r="B8" s="638">
        <v>1</v>
      </c>
      <c r="C8" s="639">
        <v>1460</v>
      </c>
      <c r="D8" s="638" t="s">
        <v>4</v>
      </c>
      <c r="E8" s="640">
        <v>17520</v>
      </c>
      <c r="F8" s="640">
        <v>900</v>
      </c>
      <c r="G8" s="640">
        <v>19800</v>
      </c>
      <c r="H8" s="641"/>
      <c r="I8" s="641"/>
      <c r="J8" s="641"/>
      <c r="K8" s="641"/>
      <c r="L8" s="641"/>
      <c r="M8" s="641"/>
    </row>
    <row r="9" spans="1:14" ht="22.5">
      <c r="A9" s="671" t="s">
        <v>40</v>
      </c>
      <c r="B9" s="638">
        <v>1</v>
      </c>
      <c r="C9" s="639">
        <v>1831</v>
      </c>
      <c r="D9" s="638" t="s">
        <v>5</v>
      </c>
      <c r="E9" s="640">
        <v>21972</v>
      </c>
      <c r="F9" s="640">
        <v>900</v>
      </c>
      <c r="G9" s="640">
        <v>19800</v>
      </c>
      <c r="H9" s="641"/>
      <c r="I9" s="641"/>
      <c r="J9" s="641"/>
      <c r="K9" s="641"/>
      <c r="L9" s="641"/>
      <c r="M9" s="641"/>
    </row>
    <row r="10" spans="1:14" ht="22.5">
      <c r="A10" s="671" t="s">
        <v>41</v>
      </c>
      <c r="B10" s="638">
        <v>1</v>
      </c>
      <c r="C10" s="639">
        <v>1649</v>
      </c>
      <c r="D10" s="638" t="s">
        <v>5</v>
      </c>
      <c r="E10" s="640">
        <v>19788</v>
      </c>
      <c r="F10" s="640">
        <v>600</v>
      </c>
      <c r="G10" s="640">
        <v>19800</v>
      </c>
      <c r="H10" s="641"/>
      <c r="I10" s="641"/>
      <c r="J10" s="641"/>
      <c r="K10" s="641"/>
      <c r="L10" s="641"/>
      <c r="M10" s="641"/>
    </row>
    <row r="11" spans="1:14" ht="22.5">
      <c r="A11" s="671" t="s">
        <v>39</v>
      </c>
      <c r="B11" s="638">
        <v>1</v>
      </c>
      <c r="C11" s="639">
        <v>1460</v>
      </c>
      <c r="D11" s="638" t="s">
        <v>6</v>
      </c>
      <c r="E11" s="640">
        <v>17520</v>
      </c>
      <c r="F11" s="640">
        <v>600</v>
      </c>
      <c r="G11" s="640">
        <v>19800</v>
      </c>
      <c r="H11" s="641"/>
      <c r="I11" s="641"/>
      <c r="J11" s="641"/>
      <c r="K11" s="641"/>
      <c r="L11" s="641"/>
      <c r="M11" s="641"/>
    </row>
    <row r="12" spans="1:14" ht="22.5">
      <c r="A12" s="671" t="s">
        <v>42</v>
      </c>
      <c r="B12" s="638">
        <v>1</v>
      </c>
      <c r="C12" s="639">
        <v>1159</v>
      </c>
      <c r="D12" s="638" t="s">
        <v>7</v>
      </c>
      <c r="E12" s="640">
        <v>13908</v>
      </c>
      <c r="F12" s="640">
        <v>420</v>
      </c>
      <c r="G12" s="640">
        <v>19800</v>
      </c>
      <c r="H12" s="641"/>
      <c r="I12" s="641"/>
      <c r="J12" s="641"/>
      <c r="K12" s="641"/>
      <c r="L12" s="641"/>
      <c r="M12" s="641"/>
    </row>
    <row r="13" spans="1:14" ht="22.5">
      <c r="A13" s="671" t="s">
        <v>43</v>
      </c>
      <c r="B13" s="638">
        <v>1</v>
      </c>
      <c r="C13" s="639">
        <v>1128</v>
      </c>
      <c r="D13" s="638" t="s">
        <v>8</v>
      </c>
      <c r="E13" s="640">
        <v>13536</v>
      </c>
      <c r="F13" s="640">
        <v>420</v>
      </c>
      <c r="G13" s="640">
        <v>19800</v>
      </c>
      <c r="H13" s="641"/>
      <c r="I13" s="641"/>
      <c r="J13" s="641"/>
      <c r="K13" s="641"/>
      <c r="L13" s="641"/>
      <c r="M13" s="641"/>
    </row>
    <row r="14" spans="1:14" ht="22.5">
      <c r="A14" s="671" t="s">
        <v>87</v>
      </c>
      <c r="B14" s="638">
        <v>1</v>
      </c>
      <c r="C14" s="639">
        <v>1460</v>
      </c>
      <c r="D14" s="638" t="s">
        <v>9</v>
      </c>
      <c r="E14" s="640">
        <v>17520</v>
      </c>
      <c r="F14" s="640">
        <v>900</v>
      </c>
      <c r="G14" s="640">
        <v>19800</v>
      </c>
      <c r="H14" s="641"/>
      <c r="I14" s="641"/>
      <c r="J14" s="641"/>
      <c r="K14" s="641"/>
      <c r="L14" s="641"/>
      <c r="M14" s="641"/>
    </row>
    <row r="15" spans="1:14" ht="22.5">
      <c r="A15" s="671" t="s">
        <v>43</v>
      </c>
      <c r="B15" s="638">
        <v>1</v>
      </c>
      <c r="C15" s="639">
        <v>1128</v>
      </c>
      <c r="D15" s="638" t="s">
        <v>6</v>
      </c>
      <c r="E15" s="640">
        <v>13536</v>
      </c>
      <c r="F15" s="640">
        <v>600</v>
      </c>
      <c r="G15" s="640">
        <v>19800</v>
      </c>
      <c r="H15" s="641"/>
      <c r="I15" s="641"/>
      <c r="J15" s="641"/>
      <c r="K15" s="641"/>
      <c r="L15" s="641"/>
      <c r="M15" s="641"/>
    </row>
    <row r="16" spans="1:14" ht="22.5">
      <c r="A16" s="671" t="s">
        <v>40</v>
      </c>
      <c r="B16" s="638">
        <v>1</v>
      </c>
      <c r="C16" s="639">
        <v>1701</v>
      </c>
      <c r="D16" s="638" t="s">
        <v>10</v>
      </c>
      <c r="E16" s="640">
        <v>20412</v>
      </c>
      <c r="F16" s="640">
        <v>600</v>
      </c>
      <c r="G16" s="640">
        <v>19800</v>
      </c>
      <c r="H16" s="641"/>
      <c r="I16" s="641"/>
      <c r="J16" s="641"/>
      <c r="K16" s="641"/>
      <c r="L16" s="641"/>
      <c r="M16" s="641"/>
    </row>
    <row r="17" spans="1:13" ht="22.5">
      <c r="A17" s="671" t="s">
        <v>40</v>
      </c>
      <c r="B17" s="638">
        <v>1</v>
      </c>
      <c r="C17" s="639">
        <v>1701</v>
      </c>
      <c r="D17" s="638" t="s">
        <v>10</v>
      </c>
      <c r="E17" s="640">
        <v>20412</v>
      </c>
      <c r="F17" s="640">
        <v>900</v>
      </c>
      <c r="G17" s="640">
        <v>19800</v>
      </c>
      <c r="H17" s="641"/>
      <c r="I17" s="641"/>
      <c r="J17" s="641"/>
      <c r="K17" s="641"/>
      <c r="L17" s="641"/>
      <c r="M17" s="641"/>
    </row>
    <row r="18" spans="1:13" ht="22.5">
      <c r="A18" s="671" t="s">
        <v>40</v>
      </c>
      <c r="B18" s="638">
        <v>1</v>
      </c>
      <c r="C18" s="639">
        <v>1701</v>
      </c>
      <c r="D18" s="638" t="s">
        <v>11</v>
      </c>
      <c r="E18" s="640">
        <v>20412</v>
      </c>
      <c r="F18" s="640">
        <v>900</v>
      </c>
      <c r="G18" s="640">
        <v>19800</v>
      </c>
      <c r="H18" s="641"/>
      <c r="I18" s="641"/>
      <c r="J18" s="641"/>
      <c r="K18" s="641"/>
      <c r="L18" s="641"/>
      <c r="M18" s="641"/>
    </row>
    <row r="19" spans="1:13" ht="22.5">
      <c r="A19" s="671" t="s">
        <v>47</v>
      </c>
      <c r="B19" s="638">
        <v>1</v>
      </c>
      <c r="C19" s="639">
        <v>1381</v>
      </c>
      <c r="D19" s="638" t="s">
        <v>12</v>
      </c>
      <c r="E19" s="640">
        <v>16572</v>
      </c>
      <c r="F19" s="640">
        <v>600</v>
      </c>
      <c r="G19" s="640">
        <v>19800</v>
      </c>
      <c r="H19" s="641"/>
      <c r="I19" s="641"/>
      <c r="J19" s="641"/>
      <c r="K19" s="641"/>
      <c r="L19" s="641"/>
      <c r="M19" s="641"/>
    </row>
    <row r="20" spans="1:13" ht="22.5">
      <c r="A20" s="671" t="s">
        <v>47</v>
      </c>
      <c r="B20" s="638">
        <v>1</v>
      </c>
      <c r="C20" s="639">
        <v>1381</v>
      </c>
      <c r="D20" s="638" t="s">
        <v>13</v>
      </c>
      <c r="E20" s="640">
        <v>16572</v>
      </c>
      <c r="F20" s="640">
        <v>600</v>
      </c>
      <c r="G20" s="640">
        <v>19800</v>
      </c>
      <c r="H20" s="641"/>
      <c r="I20" s="641"/>
      <c r="J20" s="641"/>
      <c r="K20" s="641"/>
      <c r="L20" s="641"/>
      <c r="M20" s="641"/>
    </row>
    <row r="21" spans="1:13" ht="22.5">
      <c r="A21" s="671" t="s">
        <v>43</v>
      </c>
      <c r="B21" s="638">
        <v>1</v>
      </c>
      <c r="C21" s="639">
        <v>1128</v>
      </c>
      <c r="D21" s="638" t="s">
        <v>14</v>
      </c>
      <c r="E21" s="640">
        <v>13536</v>
      </c>
      <c r="F21" s="640">
        <v>600</v>
      </c>
      <c r="G21" s="640">
        <v>19800</v>
      </c>
      <c r="H21" s="641"/>
      <c r="I21" s="641"/>
      <c r="J21" s="641"/>
      <c r="K21" s="641"/>
      <c r="L21" s="641"/>
      <c r="M21" s="641"/>
    </row>
    <row r="22" spans="1:13" ht="22.5">
      <c r="A22" s="671" t="s">
        <v>45</v>
      </c>
      <c r="B22" s="638">
        <v>1</v>
      </c>
      <c r="C22" s="639">
        <v>1555</v>
      </c>
      <c r="D22" s="638" t="s">
        <v>14</v>
      </c>
      <c r="E22" s="640">
        <v>18660</v>
      </c>
      <c r="F22" s="640">
        <v>600</v>
      </c>
      <c r="G22" s="640">
        <v>19800</v>
      </c>
      <c r="H22" s="641"/>
      <c r="I22" s="641"/>
      <c r="J22" s="641"/>
      <c r="K22" s="641"/>
      <c r="L22" s="641"/>
      <c r="M22" s="641"/>
    </row>
    <row r="23" spans="1:13" ht="22.5">
      <c r="A23" s="671" t="s">
        <v>44</v>
      </c>
      <c r="B23" s="638">
        <v>1</v>
      </c>
      <c r="C23" s="639">
        <v>1128</v>
      </c>
      <c r="D23" s="638" t="s">
        <v>15</v>
      </c>
      <c r="E23" s="640">
        <v>13536</v>
      </c>
      <c r="F23" s="640">
        <v>600</v>
      </c>
      <c r="G23" s="640">
        <v>19800</v>
      </c>
      <c r="H23" s="641"/>
      <c r="I23" s="641"/>
      <c r="J23" s="641"/>
      <c r="K23" s="641"/>
      <c r="L23" s="641"/>
      <c r="M23" s="641"/>
    </row>
    <row r="24" spans="1:13" ht="22.5">
      <c r="A24" s="671" t="s">
        <v>45</v>
      </c>
      <c r="B24" s="638">
        <v>1</v>
      </c>
      <c r="C24" s="639">
        <v>1555</v>
      </c>
      <c r="D24" s="638" t="s">
        <v>16</v>
      </c>
      <c r="E24" s="640">
        <v>18660</v>
      </c>
      <c r="F24" s="640">
        <v>600</v>
      </c>
      <c r="G24" s="640">
        <v>19800</v>
      </c>
      <c r="H24" s="641"/>
      <c r="I24" s="641"/>
      <c r="J24" s="641"/>
      <c r="K24" s="641"/>
      <c r="L24" s="641"/>
      <c r="M24" s="641"/>
    </row>
    <row r="25" spans="1:13" ht="22.5">
      <c r="A25" s="671" t="s">
        <v>39</v>
      </c>
      <c r="B25" s="638">
        <v>1</v>
      </c>
      <c r="C25" s="639">
        <v>1460</v>
      </c>
      <c r="D25" s="638" t="s">
        <v>17</v>
      </c>
      <c r="E25" s="640">
        <v>17520</v>
      </c>
      <c r="F25" s="640">
        <v>900</v>
      </c>
      <c r="G25" s="640">
        <v>19800</v>
      </c>
      <c r="H25" s="641"/>
      <c r="I25" s="641"/>
      <c r="J25" s="641"/>
      <c r="K25" s="641"/>
      <c r="L25" s="641"/>
      <c r="M25" s="641"/>
    </row>
    <row r="26" spans="1:13" ht="22.5">
      <c r="A26" s="671" t="s">
        <v>39</v>
      </c>
      <c r="B26" s="638">
        <v>1</v>
      </c>
      <c r="C26" s="639">
        <v>1381</v>
      </c>
      <c r="D26" s="638" t="s">
        <v>18</v>
      </c>
      <c r="E26" s="640">
        <v>16572</v>
      </c>
      <c r="F26" s="640">
        <v>600</v>
      </c>
      <c r="G26" s="640">
        <v>19800</v>
      </c>
      <c r="H26" s="641"/>
      <c r="I26" s="641"/>
      <c r="J26" s="641"/>
      <c r="K26" s="641"/>
      <c r="L26" s="641"/>
      <c r="M26" s="641"/>
    </row>
    <row r="27" spans="1:13" ht="22.5">
      <c r="A27" s="671" t="s">
        <v>46</v>
      </c>
      <c r="B27" s="638">
        <v>1</v>
      </c>
      <c r="C27" s="639">
        <v>1302</v>
      </c>
      <c r="D27" s="638" t="s">
        <v>19</v>
      </c>
      <c r="E27" s="640">
        <v>15624</v>
      </c>
      <c r="F27" s="640">
        <v>420</v>
      </c>
      <c r="G27" s="640">
        <v>19800</v>
      </c>
      <c r="H27" s="641"/>
      <c r="I27" s="641"/>
      <c r="J27" s="641"/>
      <c r="K27" s="641"/>
      <c r="L27" s="641"/>
      <c r="M27" s="641"/>
    </row>
    <row r="28" spans="1:13" ht="22.5">
      <c r="A28" s="671" t="s">
        <v>42</v>
      </c>
      <c r="B28" s="638">
        <v>1</v>
      </c>
      <c r="C28" s="639">
        <v>1159</v>
      </c>
      <c r="D28" s="638" t="s">
        <v>20</v>
      </c>
      <c r="E28" s="640">
        <v>13908</v>
      </c>
      <c r="F28" s="640">
        <v>900</v>
      </c>
      <c r="G28" s="640">
        <v>19800</v>
      </c>
      <c r="H28" s="641"/>
      <c r="I28" s="641"/>
      <c r="J28" s="641"/>
      <c r="K28" s="641"/>
      <c r="L28" s="641"/>
      <c r="M28" s="641"/>
    </row>
    <row r="29" spans="1:13" ht="22.5">
      <c r="A29" s="671" t="s">
        <v>46</v>
      </c>
      <c r="B29" s="638">
        <v>1</v>
      </c>
      <c r="C29" s="639">
        <v>1302</v>
      </c>
      <c r="D29" s="638" t="s">
        <v>19</v>
      </c>
      <c r="E29" s="640">
        <v>15624</v>
      </c>
      <c r="F29" s="640">
        <v>420</v>
      </c>
      <c r="G29" s="640">
        <v>19800</v>
      </c>
      <c r="H29" s="641"/>
      <c r="I29" s="641"/>
      <c r="J29" s="641"/>
      <c r="K29" s="641"/>
      <c r="L29" s="641"/>
      <c r="M29" s="641"/>
    </row>
    <row r="30" spans="1:13" ht="22.5">
      <c r="A30" s="671" t="s">
        <v>46</v>
      </c>
      <c r="B30" s="638">
        <v>1</v>
      </c>
      <c r="C30" s="639">
        <v>1302</v>
      </c>
      <c r="D30" s="638" t="s">
        <v>21</v>
      </c>
      <c r="E30" s="640">
        <v>15624</v>
      </c>
      <c r="F30" s="640">
        <v>420</v>
      </c>
      <c r="G30" s="640">
        <v>19800</v>
      </c>
      <c r="H30" s="641"/>
      <c r="I30" s="641"/>
      <c r="J30" s="641"/>
      <c r="K30" s="641"/>
      <c r="L30" s="641"/>
      <c r="M30" s="641"/>
    </row>
    <row r="31" spans="1:13" ht="22.5">
      <c r="A31" s="671" t="s">
        <v>46</v>
      </c>
      <c r="B31" s="638">
        <v>1</v>
      </c>
      <c r="C31" s="639">
        <v>1302</v>
      </c>
      <c r="D31" s="638" t="s">
        <v>19</v>
      </c>
      <c r="E31" s="640">
        <v>15624</v>
      </c>
      <c r="F31" s="640">
        <v>900</v>
      </c>
      <c r="G31" s="640">
        <v>19800</v>
      </c>
      <c r="H31" s="641"/>
      <c r="I31" s="641"/>
      <c r="J31" s="641"/>
      <c r="K31" s="641"/>
      <c r="L31" s="641"/>
      <c r="M31" s="641"/>
    </row>
    <row r="32" spans="1:13" ht="22.5">
      <c r="A32" s="671" t="s">
        <v>46</v>
      </c>
      <c r="B32" s="638">
        <v>1</v>
      </c>
      <c r="C32" s="639">
        <v>1302</v>
      </c>
      <c r="D32" s="638" t="s">
        <v>19</v>
      </c>
      <c r="E32" s="640">
        <v>15624</v>
      </c>
      <c r="F32" s="640">
        <v>0</v>
      </c>
      <c r="G32" s="640">
        <v>19800</v>
      </c>
      <c r="H32" s="641"/>
      <c r="I32" s="641"/>
      <c r="J32" s="641"/>
      <c r="K32" s="641"/>
      <c r="L32" s="641"/>
      <c r="M32" s="641"/>
    </row>
    <row r="33" spans="1:13" ht="22.5">
      <c r="A33" s="671" t="s">
        <v>47</v>
      </c>
      <c r="B33" s="638">
        <v>1</v>
      </c>
      <c r="C33" s="639">
        <v>1381</v>
      </c>
      <c r="D33" s="638" t="s">
        <v>22</v>
      </c>
      <c r="E33" s="640">
        <v>16572</v>
      </c>
      <c r="F33" s="640">
        <v>900</v>
      </c>
      <c r="G33" s="640">
        <v>19800</v>
      </c>
      <c r="H33" s="641"/>
      <c r="I33" s="641"/>
      <c r="J33" s="641"/>
      <c r="K33" s="641"/>
      <c r="L33" s="641"/>
      <c r="M33" s="641"/>
    </row>
    <row r="34" spans="1:13" ht="22.5">
      <c r="A34" s="671" t="s">
        <v>43</v>
      </c>
      <c r="B34" s="638">
        <v>1</v>
      </c>
      <c r="C34" s="639">
        <v>1128</v>
      </c>
      <c r="D34" s="638" t="s">
        <v>22</v>
      </c>
      <c r="E34" s="640">
        <v>13536</v>
      </c>
      <c r="F34" s="640">
        <v>600</v>
      </c>
      <c r="G34" s="640">
        <v>19800</v>
      </c>
      <c r="H34" s="641"/>
      <c r="I34" s="641"/>
      <c r="J34" s="641"/>
      <c r="K34" s="641"/>
      <c r="L34" s="641"/>
      <c r="M34" s="641"/>
    </row>
    <row r="35" spans="1:13" ht="22.5">
      <c r="A35" s="671" t="s">
        <v>43</v>
      </c>
      <c r="B35" s="638">
        <v>1</v>
      </c>
      <c r="C35" s="639">
        <v>1128</v>
      </c>
      <c r="D35" s="638" t="s">
        <v>23</v>
      </c>
      <c r="E35" s="640">
        <v>13536</v>
      </c>
      <c r="F35" s="640">
        <v>900</v>
      </c>
      <c r="G35" s="640">
        <v>19800</v>
      </c>
      <c r="H35" s="641"/>
      <c r="I35" s="641"/>
      <c r="J35" s="641"/>
      <c r="K35" s="641"/>
      <c r="L35" s="641"/>
      <c r="M35" s="641"/>
    </row>
    <row r="36" spans="1:13" ht="22.5">
      <c r="A36" s="672" t="s">
        <v>59</v>
      </c>
      <c r="B36" s="638">
        <v>1</v>
      </c>
      <c r="C36" s="642">
        <v>25000</v>
      </c>
      <c r="D36" s="643" t="s">
        <v>1337</v>
      </c>
      <c r="E36" s="536"/>
      <c r="F36" s="536"/>
      <c r="G36" s="536"/>
      <c r="H36" s="641"/>
      <c r="I36" s="640">
        <v>300000</v>
      </c>
      <c r="J36" s="644">
        <v>4500</v>
      </c>
      <c r="K36" s="644">
        <v>3000</v>
      </c>
      <c r="L36" s="641"/>
      <c r="M36" s="641"/>
    </row>
    <row r="37" spans="1:13" ht="22.5">
      <c r="A37" s="673" t="s">
        <v>114</v>
      </c>
      <c r="B37" s="638">
        <v>1</v>
      </c>
      <c r="C37" s="642">
        <v>13000</v>
      </c>
      <c r="D37" s="643" t="s">
        <v>1338</v>
      </c>
      <c r="E37" s="536"/>
      <c r="F37" s="536"/>
      <c r="G37" s="536"/>
      <c r="H37" s="641"/>
      <c r="I37" s="640">
        <v>120000</v>
      </c>
      <c r="J37" s="644">
        <v>4500</v>
      </c>
      <c r="K37" s="644">
        <v>3000</v>
      </c>
      <c r="L37" s="641"/>
      <c r="M37" s="641"/>
    </row>
    <row r="38" spans="1:13" ht="22.5">
      <c r="A38" s="673" t="s">
        <v>61</v>
      </c>
      <c r="B38" s="638">
        <v>1</v>
      </c>
      <c r="C38" s="642">
        <v>15500</v>
      </c>
      <c r="D38" s="643" t="s">
        <v>1339</v>
      </c>
      <c r="E38" s="536"/>
      <c r="F38" s="536"/>
      <c r="G38" s="536"/>
      <c r="H38" s="641"/>
      <c r="I38" s="640">
        <v>156000</v>
      </c>
      <c r="J38" s="644">
        <v>4500</v>
      </c>
      <c r="K38" s="644">
        <v>3000</v>
      </c>
      <c r="L38" s="641"/>
      <c r="M38" s="641"/>
    </row>
    <row r="39" spans="1:13" ht="22.5">
      <c r="A39" s="673" t="s">
        <v>48</v>
      </c>
      <c r="B39" s="638">
        <v>1</v>
      </c>
      <c r="C39" s="642">
        <v>10000</v>
      </c>
      <c r="D39" s="643" t="s">
        <v>1340</v>
      </c>
      <c r="E39" s="536"/>
      <c r="F39" s="536"/>
      <c r="G39" s="536"/>
      <c r="H39" s="641"/>
      <c r="I39" s="640">
        <v>186000</v>
      </c>
      <c r="J39" s="644">
        <v>4500</v>
      </c>
      <c r="K39" s="644">
        <v>3000</v>
      </c>
      <c r="L39" s="641"/>
      <c r="M39" s="641"/>
    </row>
    <row r="40" spans="1:13" ht="22.5">
      <c r="A40" s="674" t="s">
        <v>1341</v>
      </c>
      <c r="B40" s="641">
        <v>1</v>
      </c>
      <c r="C40" s="642">
        <v>6000</v>
      </c>
      <c r="D40" s="645" t="s">
        <v>1342</v>
      </c>
      <c r="E40" s="646"/>
      <c r="F40" s="646"/>
      <c r="G40" s="646"/>
      <c r="H40" s="644">
        <v>72000</v>
      </c>
      <c r="I40" s="646"/>
      <c r="J40" s="646"/>
      <c r="K40" s="644">
        <v>27000</v>
      </c>
      <c r="L40" s="646"/>
      <c r="M40" s="646"/>
    </row>
    <row r="41" spans="1:13" ht="22.5">
      <c r="A41" s="675" t="s">
        <v>1343</v>
      </c>
      <c r="B41" s="641">
        <v>1</v>
      </c>
      <c r="C41" s="642">
        <v>6925</v>
      </c>
      <c r="D41" s="645" t="s">
        <v>1344</v>
      </c>
      <c r="E41" s="646"/>
      <c r="F41" s="646"/>
      <c r="G41" s="646"/>
      <c r="H41" s="644">
        <v>83100</v>
      </c>
      <c r="I41" s="646"/>
      <c r="J41" s="646"/>
      <c r="K41" s="644">
        <v>27000</v>
      </c>
      <c r="L41" s="646"/>
      <c r="M41" s="646"/>
    </row>
    <row r="42" spans="1:13" ht="22.5">
      <c r="A42" s="675" t="s">
        <v>50</v>
      </c>
      <c r="B42" s="641">
        <v>1</v>
      </c>
      <c r="C42" s="642">
        <v>5011</v>
      </c>
      <c r="D42" s="645" t="s">
        <v>1345</v>
      </c>
      <c r="E42" s="646"/>
      <c r="F42" s="646"/>
      <c r="G42" s="646"/>
      <c r="H42" s="644">
        <v>60132</v>
      </c>
      <c r="I42" s="646"/>
      <c r="J42" s="646"/>
      <c r="K42" s="644">
        <v>15000</v>
      </c>
      <c r="L42" s="646"/>
      <c r="M42" s="646"/>
    </row>
    <row r="43" spans="1:13" ht="22.5">
      <c r="A43" s="676" t="s">
        <v>1346</v>
      </c>
      <c r="B43" s="641">
        <v>1</v>
      </c>
      <c r="C43" s="642">
        <v>6000</v>
      </c>
      <c r="D43" s="647" t="s">
        <v>1347</v>
      </c>
      <c r="E43" s="313"/>
      <c r="F43" s="313"/>
      <c r="G43" s="313"/>
      <c r="H43" s="313"/>
      <c r="I43" s="313"/>
      <c r="J43" s="313"/>
      <c r="K43" s="313"/>
      <c r="L43" s="648">
        <f>+C43*12</f>
        <v>72000</v>
      </c>
      <c r="M43" s="313"/>
    </row>
    <row r="44" spans="1:13" ht="22.5">
      <c r="A44" s="677" t="s">
        <v>1348</v>
      </c>
      <c r="B44" s="641">
        <v>1</v>
      </c>
      <c r="C44" s="649">
        <v>3500</v>
      </c>
      <c r="D44" s="647" t="s">
        <v>1349</v>
      </c>
      <c r="E44" s="313"/>
      <c r="F44" s="313"/>
      <c r="G44" s="313"/>
      <c r="H44" s="313"/>
      <c r="I44" s="313"/>
      <c r="J44" s="313"/>
      <c r="K44" s="313"/>
      <c r="L44" s="648">
        <f t="shared" ref="L44:L123" si="0">+C44*12</f>
        <v>42000</v>
      </c>
      <c r="M44" s="313"/>
    </row>
    <row r="45" spans="1:13" ht="22.5">
      <c r="A45" s="677" t="s">
        <v>1350</v>
      </c>
      <c r="B45" s="641">
        <v>1</v>
      </c>
      <c r="C45" s="649">
        <v>3500</v>
      </c>
      <c r="D45" s="647" t="s">
        <v>1347</v>
      </c>
      <c r="E45" s="313"/>
      <c r="F45" s="313"/>
      <c r="G45" s="313"/>
      <c r="H45" s="313"/>
      <c r="I45" s="313"/>
      <c r="J45" s="313"/>
      <c r="K45" s="313"/>
      <c r="L45" s="648">
        <f t="shared" si="0"/>
        <v>42000</v>
      </c>
      <c r="M45" s="313"/>
    </row>
    <row r="46" spans="1:13" ht="22.5">
      <c r="A46" s="677" t="s">
        <v>1350</v>
      </c>
      <c r="B46" s="641">
        <v>1</v>
      </c>
      <c r="C46" s="649">
        <v>3500</v>
      </c>
      <c r="D46" s="647" t="s">
        <v>1347</v>
      </c>
      <c r="E46" s="313"/>
      <c r="F46" s="313"/>
      <c r="G46" s="313"/>
      <c r="H46" s="313"/>
      <c r="I46" s="313"/>
      <c r="J46" s="313"/>
      <c r="K46" s="313"/>
      <c r="L46" s="648">
        <f t="shared" si="0"/>
        <v>42000</v>
      </c>
      <c r="M46" s="313"/>
    </row>
    <row r="47" spans="1:13" ht="22.5">
      <c r="A47" s="677" t="s">
        <v>1350</v>
      </c>
      <c r="B47" s="641">
        <v>1</v>
      </c>
      <c r="C47" s="649">
        <v>4000</v>
      </c>
      <c r="D47" s="647" t="s">
        <v>1347</v>
      </c>
      <c r="E47" s="313"/>
      <c r="F47" s="313"/>
      <c r="G47" s="313"/>
      <c r="H47" s="313"/>
      <c r="I47" s="313"/>
      <c r="J47" s="313"/>
      <c r="K47" s="313"/>
      <c r="L47" s="648">
        <f t="shared" si="0"/>
        <v>48000</v>
      </c>
      <c r="M47" s="313"/>
    </row>
    <row r="48" spans="1:13" ht="22.5">
      <c r="A48" s="677" t="s">
        <v>1350</v>
      </c>
      <c r="B48" s="641">
        <v>1</v>
      </c>
      <c r="C48" s="649">
        <v>4000</v>
      </c>
      <c r="D48" s="647" t="s">
        <v>1347</v>
      </c>
      <c r="E48" s="313"/>
      <c r="F48" s="313"/>
      <c r="G48" s="313"/>
      <c r="H48" s="313"/>
      <c r="I48" s="313"/>
      <c r="J48" s="313"/>
      <c r="K48" s="313"/>
      <c r="L48" s="648">
        <f t="shared" si="0"/>
        <v>48000</v>
      </c>
      <c r="M48" s="313"/>
    </row>
    <row r="49" spans="1:13" ht="22.5">
      <c r="A49" s="677" t="s">
        <v>1350</v>
      </c>
      <c r="B49" s="641">
        <v>1</v>
      </c>
      <c r="C49" s="649">
        <v>4000</v>
      </c>
      <c r="D49" s="647" t="s">
        <v>1347</v>
      </c>
      <c r="E49" s="313"/>
      <c r="F49" s="313"/>
      <c r="G49" s="313"/>
      <c r="H49" s="313"/>
      <c r="I49" s="313"/>
      <c r="J49" s="313"/>
      <c r="K49" s="313"/>
      <c r="L49" s="648">
        <f t="shared" si="0"/>
        <v>48000</v>
      </c>
      <c r="M49" s="313"/>
    </row>
    <row r="50" spans="1:13" ht="22.5">
      <c r="A50" s="677" t="s">
        <v>1350</v>
      </c>
      <c r="B50" s="641">
        <v>1</v>
      </c>
      <c r="C50" s="649">
        <v>4000</v>
      </c>
      <c r="D50" s="647" t="s">
        <v>1347</v>
      </c>
      <c r="E50" s="313"/>
      <c r="F50" s="313"/>
      <c r="G50" s="313"/>
      <c r="H50" s="313"/>
      <c r="I50" s="313"/>
      <c r="J50" s="313"/>
      <c r="K50" s="313"/>
      <c r="L50" s="648">
        <f t="shared" si="0"/>
        <v>48000</v>
      </c>
      <c r="M50" s="313"/>
    </row>
    <row r="51" spans="1:13" ht="22.5">
      <c r="A51" s="677" t="s">
        <v>1348</v>
      </c>
      <c r="B51" s="641">
        <v>1</v>
      </c>
      <c r="C51" s="649">
        <v>5500</v>
      </c>
      <c r="D51" s="647" t="s">
        <v>1347</v>
      </c>
      <c r="E51" s="313"/>
      <c r="F51" s="313"/>
      <c r="G51" s="313"/>
      <c r="H51" s="313"/>
      <c r="I51" s="313"/>
      <c r="J51" s="313"/>
      <c r="K51" s="313"/>
      <c r="L51" s="648">
        <f t="shared" si="0"/>
        <v>66000</v>
      </c>
      <c r="M51" s="313"/>
    </row>
    <row r="52" spans="1:13" ht="22.5">
      <c r="A52" s="677" t="s">
        <v>1348</v>
      </c>
      <c r="B52" s="641">
        <v>1</v>
      </c>
      <c r="C52" s="649">
        <v>5000</v>
      </c>
      <c r="D52" s="647" t="s">
        <v>1347</v>
      </c>
      <c r="E52" s="313"/>
      <c r="F52" s="313"/>
      <c r="G52" s="313"/>
      <c r="H52" s="313"/>
      <c r="I52" s="313"/>
      <c r="J52" s="313"/>
      <c r="K52" s="313"/>
      <c r="L52" s="648">
        <f t="shared" si="0"/>
        <v>60000</v>
      </c>
      <c r="M52" s="313"/>
    </row>
    <row r="53" spans="1:13" ht="22.5">
      <c r="A53" s="677" t="s">
        <v>1348</v>
      </c>
      <c r="B53" s="641">
        <v>1</v>
      </c>
      <c r="C53" s="649">
        <v>6000</v>
      </c>
      <c r="D53" s="647" t="s">
        <v>1347</v>
      </c>
      <c r="E53" s="313"/>
      <c r="F53" s="313"/>
      <c r="G53" s="313"/>
      <c r="H53" s="313"/>
      <c r="I53" s="313"/>
      <c r="J53" s="313"/>
      <c r="K53" s="313"/>
      <c r="L53" s="648">
        <f t="shared" si="0"/>
        <v>72000</v>
      </c>
      <c r="M53" s="313"/>
    </row>
    <row r="54" spans="1:13" ht="22.5">
      <c r="A54" s="677" t="s">
        <v>1348</v>
      </c>
      <c r="B54" s="641">
        <v>1</v>
      </c>
      <c r="C54" s="649">
        <v>5000</v>
      </c>
      <c r="D54" s="647" t="s">
        <v>1347</v>
      </c>
      <c r="E54" s="313"/>
      <c r="F54" s="313"/>
      <c r="G54" s="313"/>
      <c r="H54" s="313"/>
      <c r="I54" s="313"/>
      <c r="J54" s="313"/>
      <c r="K54" s="313"/>
      <c r="L54" s="648">
        <f t="shared" si="0"/>
        <v>60000</v>
      </c>
      <c r="M54" s="313"/>
    </row>
    <row r="55" spans="1:13" ht="22.5">
      <c r="A55" s="677" t="s">
        <v>1348</v>
      </c>
      <c r="B55" s="641">
        <v>1</v>
      </c>
      <c r="C55" s="649">
        <v>5000</v>
      </c>
      <c r="D55" s="647" t="s">
        <v>1347</v>
      </c>
      <c r="E55" s="313"/>
      <c r="F55" s="313"/>
      <c r="G55" s="313"/>
      <c r="H55" s="313"/>
      <c r="I55" s="313"/>
      <c r="J55" s="313"/>
      <c r="K55" s="313"/>
      <c r="L55" s="648">
        <f t="shared" si="0"/>
        <v>60000</v>
      </c>
      <c r="M55" s="313"/>
    </row>
    <row r="56" spans="1:13" ht="22.5">
      <c r="A56" s="677" t="s">
        <v>1350</v>
      </c>
      <c r="B56" s="641">
        <v>1</v>
      </c>
      <c r="C56" s="649">
        <v>12000</v>
      </c>
      <c r="D56" s="647" t="s">
        <v>1347</v>
      </c>
      <c r="E56" s="313"/>
      <c r="F56" s="313"/>
      <c r="G56" s="313"/>
      <c r="H56" s="313"/>
      <c r="I56" s="313"/>
      <c r="J56" s="313"/>
      <c r="K56" s="313"/>
      <c r="L56" s="648">
        <f t="shared" si="0"/>
        <v>144000</v>
      </c>
      <c r="M56" s="313"/>
    </row>
    <row r="57" spans="1:13" ht="22.5">
      <c r="A57" s="677" t="s">
        <v>1351</v>
      </c>
      <c r="B57" s="641">
        <v>1</v>
      </c>
      <c r="C57" s="649">
        <v>3800</v>
      </c>
      <c r="D57" s="647" t="s">
        <v>1347</v>
      </c>
      <c r="E57" s="313"/>
      <c r="F57" s="313"/>
      <c r="G57" s="313"/>
      <c r="H57" s="313"/>
      <c r="I57" s="313"/>
      <c r="J57" s="313"/>
      <c r="K57" s="313"/>
      <c r="L57" s="648">
        <f t="shared" si="0"/>
        <v>45600</v>
      </c>
      <c r="M57" s="313"/>
    </row>
    <row r="58" spans="1:13" ht="22.5">
      <c r="A58" s="677" t="s">
        <v>1351</v>
      </c>
      <c r="B58" s="641">
        <v>1</v>
      </c>
      <c r="C58" s="649">
        <v>4000</v>
      </c>
      <c r="D58" s="647" t="s">
        <v>1347</v>
      </c>
      <c r="E58" s="313"/>
      <c r="F58" s="313"/>
      <c r="G58" s="313"/>
      <c r="H58" s="313"/>
      <c r="I58" s="313"/>
      <c r="J58" s="313"/>
      <c r="K58" s="313"/>
      <c r="L58" s="648">
        <f t="shared" si="0"/>
        <v>48000</v>
      </c>
      <c r="M58" s="313"/>
    </row>
    <row r="59" spans="1:13" ht="22.5">
      <c r="A59" s="677" t="s">
        <v>1351</v>
      </c>
      <c r="B59" s="641">
        <v>1</v>
      </c>
      <c r="C59" s="649">
        <v>4000</v>
      </c>
      <c r="D59" s="647" t="s">
        <v>1347</v>
      </c>
      <c r="E59" s="313"/>
      <c r="F59" s="313"/>
      <c r="G59" s="313"/>
      <c r="H59" s="313"/>
      <c r="I59" s="313"/>
      <c r="J59" s="313"/>
      <c r="K59" s="313"/>
      <c r="L59" s="648">
        <f t="shared" si="0"/>
        <v>48000</v>
      </c>
      <c r="M59" s="313"/>
    </row>
    <row r="60" spans="1:13" ht="22.5">
      <c r="A60" s="677" t="s">
        <v>1351</v>
      </c>
      <c r="B60" s="641">
        <v>1</v>
      </c>
      <c r="C60" s="649">
        <v>4000</v>
      </c>
      <c r="D60" s="647" t="s">
        <v>1347</v>
      </c>
      <c r="E60" s="313"/>
      <c r="F60" s="313"/>
      <c r="G60" s="313"/>
      <c r="H60" s="313"/>
      <c r="I60" s="313"/>
      <c r="J60" s="313"/>
      <c r="K60" s="313"/>
      <c r="L60" s="648">
        <f t="shared" si="0"/>
        <v>48000</v>
      </c>
      <c r="M60" s="313"/>
    </row>
    <row r="61" spans="1:13" ht="22.5">
      <c r="A61" s="677" t="s">
        <v>1351</v>
      </c>
      <c r="B61" s="641">
        <v>1</v>
      </c>
      <c r="C61" s="649">
        <v>4000</v>
      </c>
      <c r="D61" s="647" t="s">
        <v>1347</v>
      </c>
      <c r="E61" s="313"/>
      <c r="F61" s="313"/>
      <c r="G61" s="313"/>
      <c r="H61" s="313"/>
      <c r="I61" s="313"/>
      <c r="J61" s="313"/>
      <c r="K61" s="313"/>
      <c r="L61" s="648">
        <f t="shared" si="0"/>
        <v>48000</v>
      </c>
      <c r="M61" s="313"/>
    </row>
    <row r="62" spans="1:13" ht="22.5">
      <c r="A62" s="677" t="s">
        <v>1351</v>
      </c>
      <c r="B62" s="641">
        <v>1</v>
      </c>
      <c r="C62" s="649">
        <v>4000</v>
      </c>
      <c r="D62" s="647" t="s">
        <v>1347</v>
      </c>
      <c r="E62" s="313"/>
      <c r="F62" s="313"/>
      <c r="G62" s="313"/>
      <c r="H62" s="313"/>
      <c r="I62" s="313"/>
      <c r="J62" s="313"/>
      <c r="K62" s="313"/>
      <c r="L62" s="648">
        <f t="shared" si="0"/>
        <v>48000</v>
      </c>
      <c r="M62" s="313"/>
    </row>
    <row r="63" spans="1:13" ht="22.5">
      <c r="A63" s="677" t="s">
        <v>1351</v>
      </c>
      <c r="B63" s="641">
        <v>1</v>
      </c>
      <c r="C63" s="649">
        <v>4000</v>
      </c>
      <c r="D63" s="647" t="s">
        <v>1347</v>
      </c>
      <c r="E63" s="313"/>
      <c r="F63" s="313"/>
      <c r="G63" s="313"/>
      <c r="H63" s="313"/>
      <c r="I63" s="313"/>
      <c r="J63" s="313"/>
      <c r="K63" s="313"/>
      <c r="L63" s="648">
        <f t="shared" si="0"/>
        <v>48000</v>
      </c>
      <c r="M63" s="313"/>
    </row>
    <row r="64" spans="1:13" ht="22.5">
      <c r="A64" s="677" t="s">
        <v>1351</v>
      </c>
      <c r="B64" s="641">
        <v>1</v>
      </c>
      <c r="C64" s="649">
        <v>4000</v>
      </c>
      <c r="D64" s="647" t="s">
        <v>1347</v>
      </c>
      <c r="E64" s="313"/>
      <c r="F64" s="313"/>
      <c r="G64" s="313"/>
      <c r="H64" s="313"/>
      <c r="I64" s="313"/>
      <c r="J64" s="313"/>
      <c r="K64" s="313"/>
      <c r="L64" s="648">
        <f t="shared" si="0"/>
        <v>48000</v>
      </c>
      <c r="M64" s="313"/>
    </row>
    <row r="65" spans="1:13" ht="22.5">
      <c r="A65" s="677" t="s">
        <v>1351</v>
      </c>
      <c r="B65" s="641">
        <v>1</v>
      </c>
      <c r="C65" s="649">
        <v>4000</v>
      </c>
      <c r="D65" s="647" t="s">
        <v>1347</v>
      </c>
      <c r="E65" s="313"/>
      <c r="F65" s="313"/>
      <c r="G65" s="313"/>
      <c r="H65" s="313"/>
      <c r="I65" s="313"/>
      <c r="J65" s="313"/>
      <c r="K65" s="313"/>
      <c r="L65" s="648">
        <f t="shared" si="0"/>
        <v>48000</v>
      </c>
      <c r="M65" s="313"/>
    </row>
    <row r="66" spans="1:13" ht="22.5">
      <c r="A66" s="677" t="s">
        <v>1351</v>
      </c>
      <c r="B66" s="641">
        <v>1</v>
      </c>
      <c r="C66" s="649">
        <v>4000</v>
      </c>
      <c r="D66" s="647" t="s">
        <v>1347</v>
      </c>
      <c r="E66" s="313"/>
      <c r="F66" s="313"/>
      <c r="G66" s="313"/>
      <c r="H66" s="313"/>
      <c r="I66" s="313"/>
      <c r="J66" s="313"/>
      <c r="K66" s="313"/>
      <c r="L66" s="648">
        <f t="shared" si="0"/>
        <v>48000</v>
      </c>
      <c r="M66" s="313"/>
    </row>
    <row r="67" spans="1:13" ht="22.5">
      <c r="A67" s="677" t="s">
        <v>1351</v>
      </c>
      <c r="B67" s="641">
        <v>1</v>
      </c>
      <c r="C67" s="649">
        <v>4000</v>
      </c>
      <c r="D67" s="647" t="s">
        <v>1347</v>
      </c>
      <c r="E67" s="313"/>
      <c r="F67" s="313"/>
      <c r="G67" s="313"/>
      <c r="H67" s="313"/>
      <c r="I67" s="313"/>
      <c r="J67" s="313"/>
      <c r="K67" s="313"/>
      <c r="L67" s="648">
        <f t="shared" si="0"/>
        <v>48000</v>
      </c>
      <c r="M67" s="313"/>
    </row>
    <row r="68" spans="1:13" ht="22.5">
      <c r="A68" s="677" t="s">
        <v>1352</v>
      </c>
      <c r="B68" s="641">
        <v>1</v>
      </c>
      <c r="C68" s="649">
        <v>4000</v>
      </c>
      <c r="D68" s="647" t="s">
        <v>1347</v>
      </c>
      <c r="E68" s="313"/>
      <c r="F68" s="313"/>
      <c r="G68" s="313"/>
      <c r="H68" s="313"/>
      <c r="I68" s="313"/>
      <c r="J68" s="313"/>
      <c r="K68" s="313"/>
      <c r="L68" s="648">
        <f t="shared" si="0"/>
        <v>48000</v>
      </c>
      <c r="M68" s="313"/>
    </row>
    <row r="69" spans="1:13" ht="22.5">
      <c r="A69" s="677" t="s">
        <v>1352</v>
      </c>
      <c r="B69" s="641">
        <v>1</v>
      </c>
      <c r="C69" s="649">
        <v>4100</v>
      </c>
      <c r="D69" s="650" t="s">
        <v>1353</v>
      </c>
      <c r="E69" s="313"/>
      <c r="F69" s="313"/>
      <c r="G69" s="313"/>
      <c r="H69" s="313"/>
      <c r="I69" s="313"/>
      <c r="J69" s="313"/>
      <c r="K69" s="313"/>
      <c r="L69" s="648">
        <f t="shared" si="0"/>
        <v>49200</v>
      </c>
      <c r="M69" s="313"/>
    </row>
    <row r="70" spans="1:13" ht="22.5">
      <c r="A70" s="677" t="s">
        <v>1352</v>
      </c>
      <c r="B70" s="641">
        <v>1</v>
      </c>
      <c r="C70" s="649">
        <v>4200</v>
      </c>
      <c r="D70" s="647" t="s">
        <v>1347</v>
      </c>
      <c r="E70" s="313"/>
      <c r="F70" s="313"/>
      <c r="G70" s="313"/>
      <c r="H70" s="313"/>
      <c r="I70" s="313"/>
      <c r="J70" s="313"/>
      <c r="K70" s="313"/>
      <c r="L70" s="648">
        <f t="shared" si="0"/>
        <v>50400</v>
      </c>
      <c r="M70" s="313"/>
    </row>
    <row r="71" spans="1:13" ht="22.5">
      <c r="A71" s="677" t="s">
        <v>1351</v>
      </c>
      <c r="B71" s="641">
        <v>1</v>
      </c>
      <c r="C71" s="649">
        <v>4200</v>
      </c>
      <c r="D71" s="647" t="s">
        <v>1347</v>
      </c>
      <c r="E71" s="313"/>
      <c r="F71" s="313"/>
      <c r="G71" s="313"/>
      <c r="H71" s="313"/>
      <c r="I71" s="313"/>
      <c r="J71" s="313"/>
      <c r="K71" s="313"/>
      <c r="L71" s="648">
        <f t="shared" si="0"/>
        <v>50400</v>
      </c>
      <c r="M71" s="313"/>
    </row>
    <row r="72" spans="1:13" ht="22.5">
      <c r="A72" s="677" t="s">
        <v>1351</v>
      </c>
      <c r="B72" s="641">
        <v>1</v>
      </c>
      <c r="C72" s="649">
        <v>4200</v>
      </c>
      <c r="D72" s="647" t="s">
        <v>1347</v>
      </c>
      <c r="E72" s="313"/>
      <c r="F72" s="313"/>
      <c r="G72" s="313"/>
      <c r="H72" s="313"/>
      <c r="I72" s="313"/>
      <c r="J72" s="313"/>
      <c r="K72" s="313"/>
      <c r="L72" s="648">
        <f t="shared" si="0"/>
        <v>50400</v>
      </c>
      <c r="M72" s="313"/>
    </row>
    <row r="73" spans="1:13" ht="22.5">
      <c r="A73" s="677" t="s">
        <v>1351</v>
      </c>
      <c r="B73" s="641">
        <v>1</v>
      </c>
      <c r="C73" s="649">
        <v>4300</v>
      </c>
      <c r="D73" s="647" t="s">
        <v>1347</v>
      </c>
      <c r="E73" s="313"/>
      <c r="F73" s="313"/>
      <c r="G73" s="313"/>
      <c r="H73" s="313"/>
      <c r="I73" s="313"/>
      <c r="J73" s="313"/>
      <c r="K73" s="313"/>
      <c r="L73" s="648">
        <f t="shared" si="0"/>
        <v>51600</v>
      </c>
      <c r="M73" s="313"/>
    </row>
    <row r="74" spans="1:13" ht="22.5">
      <c r="A74" s="677" t="s">
        <v>1351</v>
      </c>
      <c r="B74" s="641">
        <v>1</v>
      </c>
      <c r="C74" s="649">
        <v>4500</v>
      </c>
      <c r="D74" s="647" t="s">
        <v>1347</v>
      </c>
      <c r="E74" s="313"/>
      <c r="F74" s="313"/>
      <c r="G74" s="313"/>
      <c r="H74" s="313"/>
      <c r="I74" s="313"/>
      <c r="J74" s="313"/>
      <c r="K74" s="313"/>
      <c r="L74" s="648">
        <f t="shared" si="0"/>
        <v>54000</v>
      </c>
      <c r="M74" s="313"/>
    </row>
    <row r="75" spans="1:13" ht="22.5">
      <c r="A75" s="677" t="s">
        <v>1351</v>
      </c>
      <c r="B75" s="641">
        <v>1</v>
      </c>
      <c r="C75" s="649">
        <v>4500</v>
      </c>
      <c r="D75" s="647" t="s">
        <v>1347</v>
      </c>
      <c r="E75" s="313"/>
      <c r="F75" s="313"/>
      <c r="G75" s="313"/>
      <c r="H75" s="313"/>
      <c r="I75" s="313"/>
      <c r="J75" s="313"/>
      <c r="K75" s="313"/>
      <c r="L75" s="648">
        <f t="shared" si="0"/>
        <v>54000</v>
      </c>
      <c r="M75" s="313"/>
    </row>
    <row r="76" spans="1:13" ht="22.5">
      <c r="A76" s="677" t="s">
        <v>1351</v>
      </c>
      <c r="B76" s="641">
        <v>1</v>
      </c>
      <c r="C76" s="649">
        <v>4500</v>
      </c>
      <c r="D76" s="647" t="s">
        <v>1347</v>
      </c>
      <c r="E76" s="313"/>
      <c r="F76" s="313"/>
      <c r="G76" s="313"/>
      <c r="H76" s="313"/>
      <c r="I76" s="313"/>
      <c r="J76" s="313"/>
      <c r="K76" s="313"/>
      <c r="L76" s="648">
        <f t="shared" si="0"/>
        <v>54000</v>
      </c>
      <c r="M76" s="313"/>
    </row>
    <row r="77" spans="1:13" ht="22.5">
      <c r="A77" s="677" t="s">
        <v>1351</v>
      </c>
      <c r="B77" s="641">
        <v>1</v>
      </c>
      <c r="C77" s="649">
        <v>4500</v>
      </c>
      <c r="D77" s="647" t="s">
        <v>1347</v>
      </c>
      <c r="E77" s="313"/>
      <c r="F77" s="313"/>
      <c r="G77" s="313"/>
      <c r="H77" s="313"/>
      <c r="I77" s="313"/>
      <c r="J77" s="313"/>
      <c r="K77" s="313"/>
      <c r="L77" s="648">
        <f t="shared" si="0"/>
        <v>54000</v>
      </c>
      <c r="M77" s="313"/>
    </row>
    <row r="78" spans="1:13" ht="22.5">
      <c r="A78" s="677" t="s">
        <v>1351</v>
      </c>
      <c r="B78" s="641">
        <v>1</v>
      </c>
      <c r="C78" s="649">
        <v>4500</v>
      </c>
      <c r="D78" s="647" t="s">
        <v>1347</v>
      </c>
      <c r="E78" s="313"/>
      <c r="F78" s="313"/>
      <c r="G78" s="313"/>
      <c r="H78" s="313"/>
      <c r="I78" s="313"/>
      <c r="J78" s="313"/>
      <c r="K78" s="313"/>
      <c r="L78" s="648">
        <f t="shared" si="0"/>
        <v>54000</v>
      </c>
      <c r="M78" s="313"/>
    </row>
    <row r="79" spans="1:13" ht="22.5">
      <c r="A79" s="677" t="s">
        <v>1351</v>
      </c>
      <c r="B79" s="641">
        <v>1</v>
      </c>
      <c r="C79" s="649">
        <v>4500</v>
      </c>
      <c r="D79" s="647" t="s">
        <v>1347</v>
      </c>
      <c r="E79" s="313"/>
      <c r="F79" s="313"/>
      <c r="G79" s="313"/>
      <c r="H79" s="313"/>
      <c r="I79" s="313"/>
      <c r="J79" s="313"/>
      <c r="K79" s="313"/>
      <c r="L79" s="648">
        <f t="shared" si="0"/>
        <v>54000</v>
      </c>
      <c r="M79" s="313"/>
    </row>
    <row r="80" spans="1:13" ht="22.5">
      <c r="A80" s="677" t="s">
        <v>1351</v>
      </c>
      <c r="B80" s="641">
        <v>1</v>
      </c>
      <c r="C80" s="649">
        <v>5000</v>
      </c>
      <c r="D80" s="647" t="s">
        <v>1347</v>
      </c>
      <c r="E80" s="313"/>
      <c r="F80" s="313"/>
      <c r="G80" s="313"/>
      <c r="H80" s="313"/>
      <c r="I80" s="313"/>
      <c r="J80" s="313"/>
      <c r="K80" s="313"/>
      <c r="L80" s="648">
        <f t="shared" si="0"/>
        <v>60000</v>
      </c>
      <c r="M80" s="313"/>
    </row>
    <row r="81" spans="1:13" ht="22.5">
      <c r="A81" s="677" t="s">
        <v>1351</v>
      </c>
      <c r="B81" s="641">
        <v>1</v>
      </c>
      <c r="C81" s="649">
        <v>5000</v>
      </c>
      <c r="D81" s="647" t="s">
        <v>1347</v>
      </c>
      <c r="E81" s="313"/>
      <c r="F81" s="313"/>
      <c r="G81" s="313"/>
      <c r="H81" s="313"/>
      <c r="I81" s="313"/>
      <c r="J81" s="313"/>
      <c r="K81" s="313"/>
      <c r="L81" s="648">
        <f t="shared" si="0"/>
        <v>60000</v>
      </c>
      <c r="M81" s="313"/>
    </row>
    <row r="82" spans="1:13" ht="22.5">
      <c r="A82" s="677" t="s">
        <v>1351</v>
      </c>
      <c r="B82" s="641">
        <v>1</v>
      </c>
      <c r="C82" s="649">
        <v>5000</v>
      </c>
      <c r="D82" s="647" t="s">
        <v>1347</v>
      </c>
      <c r="E82" s="313"/>
      <c r="F82" s="313"/>
      <c r="G82" s="313"/>
      <c r="H82" s="313"/>
      <c r="I82" s="313"/>
      <c r="J82" s="313"/>
      <c r="K82" s="313"/>
      <c r="L82" s="648">
        <f t="shared" si="0"/>
        <v>60000</v>
      </c>
      <c r="M82" s="313"/>
    </row>
    <row r="83" spans="1:13" ht="22.5">
      <c r="A83" s="677" t="s">
        <v>1351</v>
      </c>
      <c r="B83" s="641">
        <v>1</v>
      </c>
      <c r="C83" s="649">
        <v>5000</v>
      </c>
      <c r="D83" s="647" t="s">
        <v>1347</v>
      </c>
      <c r="E83" s="313"/>
      <c r="F83" s="313"/>
      <c r="G83" s="313"/>
      <c r="H83" s="313"/>
      <c r="I83" s="313"/>
      <c r="J83" s="313"/>
      <c r="K83" s="313"/>
      <c r="L83" s="648">
        <f t="shared" si="0"/>
        <v>60000</v>
      </c>
      <c r="M83" s="313"/>
    </row>
    <row r="84" spans="1:13" ht="22.5">
      <c r="A84" s="677" t="s">
        <v>1351</v>
      </c>
      <c r="B84" s="641">
        <v>1</v>
      </c>
      <c r="C84" s="649">
        <v>5000</v>
      </c>
      <c r="D84" s="647" t="s">
        <v>1347</v>
      </c>
      <c r="E84" s="313"/>
      <c r="F84" s="313"/>
      <c r="G84" s="313"/>
      <c r="H84" s="313"/>
      <c r="I84" s="313"/>
      <c r="J84" s="313"/>
      <c r="K84" s="313"/>
      <c r="L84" s="648">
        <f t="shared" si="0"/>
        <v>60000</v>
      </c>
      <c r="M84" s="313"/>
    </row>
    <row r="85" spans="1:13" ht="22.5">
      <c r="A85" s="677" t="s">
        <v>1351</v>
      </c>
      <c r="B85" s="641">
        <v>1</v>
      </c>
      <c r="C85" s="649">
        <v>5000</v>
      </c>
      <c r="D85" s="647" t="s">
        <v>1347</v>
      </c>
      <c r="E85" s="313"/>
      <c r="F85" s="313"/>
      <c r="G85" s="313"/>
      <c r="H85" s="313"/>
      <c r="I85" s="313"/>
      <c r="J85" s="313"/>
      <c r="K85" s="313"/>
      <c r="L85" s="648">
        <f t="shared" si="0"/>
        <v>60000</v>
      </c>
      <c r="M85" s="313"/>
    </row>
    <row r="86" spans="1:13" ht="22.5">
      <c r="A86" s="677" t="s">
        <v>1351</v>
      </c>
      <c r="B86" s="641">
        <v>1</v>
      </c>
      <c r="C86" s="649">
        <v>4000</v>
      </c>
      <c r="D86" s="647" t="s">
        <v>1347</v>
      </c>
      <c r="E86" s="313"/>
      <c r="F86" s="313"/>
      <c r="G86" s="313"/>
      <c r="H86" s="313"/>
      <c r="I86" s="313"/>
      <c r="J86" s="313"/>
      <c r="K86" s="313"/>
      <c r="L86" s="648">
        <f t="shared" si="0"/>
        <v>48000</v>
      </c>
      <c r="M86" s="313"/>
    </row>
    <row r="87" spans="1:13" ht="22.5">
      <c r="A87" s="677" t="s">
        <v>1351</v>
      </c>
      <c r="B87" s="641">
        <v>1</v>
      </c>
      <c r="C87" s="649">
        <v>5000</v>
      </c>
      <c r="D87" s="647" t="s">
        <v>1347</v>
      </c>
      <c r="E87" s="313"/>
      <c r="F87" s="313"/>
      <c r="G87" s="313"/>
      <c r="H87" s="313"/>
      <c r="I87" s="313"/>
      <c r="J87" s="313"/>
      <c r="K87" s="313"/>
      <c r="L87" s="648">
        <f t="shared" si="0"/>
        <v>60000</v>
      </c>
      <c r="M87" s="313"/>
    </row>
    <row r="88" spans="1:13" ht="22.5">
      <c r="A88" s="677" t="s">
        <v>1352</v>
      </c>
      <c r="B88" s="641">
        <v>1</v>
      </c>
      <c r="C88" s="649">
        <v>5500</v>
      </c>
      <c r="D88" s="647" t="s">
        <v>1347</v>
      </c>
      <c r="E88" s="313"/>
      <c r="F88" s="313"/>
      <c r="G88" s="313"/>
      <c r="H88" s="313"/>
      <c r="I88" s="313"/>
      <c r="J88" s="313"/>
      <c r="K88" s="313"/>
      <c r="L88" s="648">
        <f t="shared" si="0"/>
        <v>66000</v>
      </c>
      <c r="M88" s="313"/>
    </row>
    <row r="89" spans="1:13" ht="22.5">
      <c r="A89" s="677" t="s">
        <v>1352</v>
      </c>
      <c r="B89" s="641">
        <v>1</v>
      </c>
      <c r="C89" s="649">
        <v>5500</v>
      </c>
      <c r="D89" s="647" t="s">
        <v>1347</v>
      </c>
      <c r="E89" s="313"/>
      <c r="F89" s="313"/>
      <c r="G89" s="313"/>
      <c r="H89" s="313"/>
      <c r="I89" s="313"/>
      <c r="J89" s="313"/>
      <c r="K89" s="313"/>
      <c r="L89" s="648">
        <f t="shared" si="0"/>
        <v>66000</v>
      </c>
      <c r="M89" s="313"/>
    </row>
    <row r="90" spans="1:13" ht="22.5">
      <c r="A90" s="677" t="s">
        <v>1351</v>
      </c>
      <c r="B90" s="641">
        <v>1</v>
      </c>
      <c r="C90" s="649">
        <v>6500</v>
      </c>
      <c r="D90" s="647" t="s">
        <v>1347</v>
      </c>
      <c r="E90" s="313"/>
      <c r="F90" s="313"/>
      <c r="G90" s="313"/>
      <c r="H90" s="313"/>
      <c r="I90" s="313"/>
      <c r="J90" s="313"/>
      <c r="K90" s="313"/>
      <c r="L90" s="648">
        <f t="shared" si="0"/>
        <v>78000</v>
      </c>
      <c r="M90" s="313"/>
    </row>
    <row r="91" spans="1:13" ht="22.5">
      <c r="A91" s="677" t="s">
        <v>1351</v>
      </c>
      <c r="B91" s="641">
        <v>1</v>
      </c>
      <c r="C91" s="649">
        <v>7000</v>
      </c>
      <c r="D91" s="647" t="s">
        <v>1347</v>
      </c>
      <c r="E91" s="313"/>
      <c r="F91" s="313"/>
      <c r="G91" s="313"/>
      <c r="H91" s="313"/>
      <c r="I91" s="313"/>
      <c r="J91" s="313"/>
      <c r="K91" s="313"/>
      <c r="L91" s="648">
        <f t="shared" si="0"/>
        <v>84000</v>
      </c>
      <c r="M91" s="313"/>
    </row>
    <row r="92" spans="1:13" ht="22.5">
      <c r="A92" s="677" t="s">
        <v>1351</v>
      </c>
      <c r="B92" s="641">
        <v>1</v>
      </c>
      <c r="C92" s="649">
        <v>8000</v>
      </c>
      <c r="D92" s="647" t="s">
        <v>1349</v>
      </c>
      <c r="E92" s="313"/>
      <c r="F92" s="313"/>
      <c r="G92" s="313"/>
      <c r="H92" s="313"/>
      <c r="I92" s="313"/>
      <c r="J92" s="313"/>
      <c r="K92" s="313"/>
      <c r="L92" s="648">
        <f t="shared" si="0"/>
        <v>96000</v>
      </c>
      <c r="M92" s="313"/>
    </row>
    <row r="93" spans="1:13" ht="22.5">
      <c r="A93" s="677" t="s">
        <v>1354</v>
      </c>
      <c r="B93" s="641">
        <v>1</v>
      </c>
      <c r="C93" s="649">
        <v>3500</v>
      </c>
      <c r="D93" s="647" t="s">
        <v>1353</v>
      </c>
      <c r="E93" s="313"/>
      <c r="F93" s="313"/>
      <c r="G93" s="313"/>
      <c r="H93" s="313"/>
      <c r="I93" s="313"/>
      <c r="J93" s="313"/>
      <c r="K93" s="313"/>
      <c r="L93" s="648">
        <f t="shared" si="0"/>
        <v>42000</v>
      </c>
      <c r="M93" s="313"/>
    </row>
    <row r="94" spans="1:13" ht="22.5">
      <c r="A94" s="677" t="s">
        <v>1355</v>
      </c>
      <c r="B94" s="641">
        <v>1</v>
      </c>
      <c r="C94" s="649">
        <v>3500</v>
      </c>
      <c r="D94" s="647" t="s">
        <v>1347</v>
      </c>
      <c r="E94" s="313"/>
      <c r="F94" s="313"/>
      <c r="G94" s="313"/>
      <c r="H94" s="313"/>
      <c r="I94" s="313"/>
      <c r="J94" s="313"/>
      <c r="K94" s="313"/>
      <c r="L94" s="648">
        <f t="shared" si="0"/>
        <v>42000</v>
      </c>
      <c r="M94" s="313"/>
    </row>
    <row r="95" spans="1:13" ht="22.5">
      <c r="A95" s="677" t="s">
        <v>1355</v>
      </c>
      <c r="B95" s="641">
        <v>1</v>
      </c>
      <c r="C95" s="649">
        <v>3500</v>
      </c>
      <c r="D95" s="647" t="s">
        <v>1347</v>
      </c>
      <c r="E95" s="313"/>
      <c r="F95" s="313"/>
      <c r="G95" s="313"/>
      <c r="H95" s="313"/>
      <c r="I95" s="313"/>
      <c r="J95" s="313"/>
      <c r="K95" s="313"/>
      <c r="L95" s="648">
        <f t="shared" si="0"/>
        <v>42000</v>
      </c>
      <c r="M95" s="313"/>
    </row>
    <row r="96" spans="1:13" ht="22.5">
      <c r="A96" s="677" t="s">
        <v>1354</v>
      </c>
      <c r="B96" s="641">
        <v>1</v>
      </c>
      <c r="C96" s="649">
        <v>3000</v>
      </c>
      <c r="D96" s="647" t="s">
        <v>1347</v>
      </c>
      <c r="E96" s="313"/>
      <c r="F96" s="313"/>
      <c r="G96" s="313"/>
      <c r="H96" s="313"/>
      <c r="I96" s="313"/>
      <c r="J96" s="313"/>
      <c r="K96" s="313"/>
      <c r="L96" s="648">
        <f t="shared" si="0"/>
        <v>36000</v>
      </c>
      <c r="M96" s="313"/>
    </row>
    <row r="97" spans="1:13" ht="22.5">
      <c r="A97" s="677" t="s">
        <v>1356</v>
      </c>
      <c r="B97" s="641">
        <v>1</v>
      </c>
      <c r="C97" s="649">
        <v>3000</v>
      </c>
      <c r="D97" s="647" t="s">
        <v>1347</v>
      </c>
      <c r="E97" s="313"/>
      <c r="F97" s="313"/>
      <c r="G97" s="313"/>
      <c r="H97" s="313"/>
      <c r="I97" s="313"/>
      <c r="J97" s="313"/>
      <c r="K97" s="313"/>
      <c r="L97" s="648">
        <f t="shared" si="0"/>
        <v>36000</v>
      </c>
      <c r="M97" s="313"/>
    </row>
    <row r="98" spans="1:13" ht="22.5">
      <c r="A98" s="677" t="s">
        <v>1356</v>
      </c>
      <c r="B98" s="641">
        <v>1</v>
      </c>
      <c r="C98" s="649">
        <v>3000</v>
      </c>
      <c r="D98" s="647" t="s">
        <v>1347</v>
      </c>
      <c r="E98" s="313"/>
      <c r="F98" s="313"/>
      <c r="G98" s="313"/>
      <c r="H98" s="313"/>
      <c r="I98" s="313"/>
      <c r="J98" s="313"/>
      <c r="K98" s="313"/>
      <c r="L98" s="648">
        <f t="shared" si="0"/>
        <v>36000</v>
      </c>
      <c r="M98" s="313"/>
    </row>
    <row r="99" spans="1:13" ht="22.5">
      <c r="A99" s="677" t="s">
        <v>1356</v>
      </c>
      <c r="B99" s="641">
        <v>1</v>
      </c>
      <c r="C99" s="649">
        <v>3000</v>
      </c>
      <c r="D99" s="647" t="s">
        <v>1347</v>
      </c>
      <c r="E99" s="313"/>
      <c r="F99" s="313"/>
      <c r="G99" s="313"/>
      <c r="H99" s="313"/>
      <c r="I99" s="313"/>
      <c r="J99" s="313"/>
      <c r="K99" s="313"/>
      <c r="L99" s="648">
        <f t="shared" si="0"/>
        <v>36000</v>
      </c>
      <c r="M99" s="313"/>
    </row>
    <row r="100" spans="1:13" ht="22.5">
      <c r="A100" s="677" t="s">
        <v>1354</v>
      </c>
      <c r="B100" s="641">
        <v>1</v>
      </c>
      <c r="C100" s="649">
        <v>3000</v>
      </c>
      <c r="D100" s="647" t="s">
        <v>1347</v>
      </c>
      <c r="E100" s="313"/>
      <c r="F100" s="313"/>
      <c r="G100" s="313"/>
      <c r="H100" s="313"/>
      <c r="I100" s="313"/>
      <c r="J100" s="313"/>
      <c r="K100" s="313"/>
      <c r="L100" s="648">
        <f t="shared" si="0"/>
        <v>36000</v>
      </c>
      <c r="M100" s="313"/>
    </row>
    <row r="101" spans="1:13" ht="22.5">
      <c r="A101" s="677" t="s">
        <v>1356</v>
      </c>
      <c r="B101" s="641">
        <v>1</v>
      </c>
      <c r="C101" s="649">
        <v>3000</v>
      </c>
      <c r="D101" s="647" t="s">
        <v>1347</v>
      </c>
      <c r="E101" s="313"/>
      <c r="F101" s="313"/>
      <c r="G101" s="313"/>
      <c r="H101" s="313"/>
      <c r="I101" s="313"/>
      <c r="J101" s="313"/>
      <c r="K101" s="313"/>
      <c r="L101" s="648">
        <f t="shared" si="0"/>
        <v>36000</v>
      </c>
      <c r="M101" s="313"/>
    </row>
    <row r="102" spans="1:13" ht="22.5">
      <c r="A102" s="677" t="s">
        <v>1356</v>
      </c>
      <c r="B102" s="641">
        <v>1</v>
      </c>
      <c r="C102" s="649">
        <v>3000</v>
      </c>
      <c r="D102" s="647" t="s">
        <v>1347</v>
      </c>
      <c r="E102" s="313"/>
      <c r="F102" s="313"/>
      <c r="G102" s="313"/>
      <c r="H102" s="313"/>
      <c r="I102" s="313"/>
      <c r="J102" s="313"/>
      <c r="K102" s="313"/>
      <c r="L102" s="648">
        <f t="shared" si="0"/>
        <v>36000</v>
      </c>
      <c r="M102" s="313"/>
    </row>
    <row r="103" spans="1:13" ht="22.5">
      <c r="A103" s="677" t="s">
        <v>1356</v>
      </c>
      <c r="B103" s="641">
        <v>1</v>
      </c>
      <c r="C103" s="649">
        <v>3000</v>
      </c>
      <c r="D103" s="647" t="s">
        <v>1347</v>
      </c>
      <c r="E103" s="313"/>
      <c r="F103" s="313"/>
      <c r="G103" s="313"/>
      <c r="H103" s="313"/>
      <c r="I103" s="313"/>
      <c r="J103" s="313"/>
      <c r="K103" s="313"/>
      <c r="L103" s="648">
        <f t="shared" si="0"/>
        <v>36000</v>
      </c>
      <c r="M103" s="313"/>
    </row>
    <row r="104" spans="1:13" ht="22.5">
      <c r="A104" s="677" t="s">
        <v>1357</v>
      </c>
      <c r="B104" s="641">
        <v>1</v>
      </c>
      <c r="C104" s="649">
        <v>15000</v>
      </c>
      <c r="D104" s="647" t="s">
        <v>1347</v>
      </c>
      <c r="E104" s="313"/>
      <c r="F104" s="313"/>
      <c r="G104" s="313"/>
      <c r="H104" s="313"/>
      <c r="I104" s="313"/>
      <c r="J104" s="313"/>
      <c r="K104" s="313"/>
      <c r="L104" s="648">
        <f t="shared" si="0"/>
        <v>180000</v>
      </c>
      <c r="M104" s="313"/>
    </row>
    <row r="105" spans="1:13" ht="22.5">
      <c r="A105" s="677" t="s">
        <v>1357</v>
      </c>
      <c r="B105" s="641">
        <v>1</v>
      </c>
      <c r="C105" s="649">
        <v>5000</v>
      </c>
      <c r="D105" s="647" t="s">
        <v>1347</v>
      </c>
      <c r="E105" s="313"/>
      <c r="F105" s="313"/>
      <c r="G105" s="313"/>
      <c r="H105" s="313"/>
      <c r="I105" s="313"/>
      <c r="J105" s="313"/>
      <c r="K105" s="313"/>
      <c r="L105" s="648">
        <f t="shared" si="0"/>
        <v>60000</v>
      </c>
      <c r="M105" s="313"/>
    </row>
    <row r="106" spans="1:13" ht="22.5">
      <c r="A106" s="677" t="s">
        <v>1357</v>
      </c>
      <c r="B106" s="641">
        <v>1</v>
      </c>
      <c r="C106" s="649">
        <v>5500</v>
      </c>
      <c r="D106" s="647" t="s">
        <v>1347</v>
      </c>
      <c r="E106" s="313"/>
      <c r="F106" s="313"/>
      <c r="G106" s="313"/>
      <c r="H106" s="313"/>
      <c r="I106" s="313"/>
      <c r="J106" s="313"/>
      <c r="K106" s="313"/>
      <c r="L106" s="648">
        <f t="shared" si="0"/>
        <v>66000</v>
      </c>
      <c r="M106" s="313"/>
    </row>
    <row r="107" spans="1:13" ht="22.5">
      <c r="A107" s="677" t="s">
        <v>1357</v>
      </c>
      <c r="B107" s="641">
        <v>1</v>
      </c>
      <c r="C107" s="649">
        <v>4000</v>
      </c>
      <c r="D107" s="647" t="s">
        <v>1347</v>
      </c>
      <c r="E107" s="313"/>
      <c r="F107" s="313"/>
      <c r="G107" s="313"/>
      <c r="H107" s="313"/>
      <c r="I107" s="313"/>
      <c r="J107" s="313"/>
      <c r="K107" s="313"/>
      <c r="L107" s="648">
        <f t="shared" si="0"/>
        <v>48000</v>
      </c>
      <c r="M107" s="313"/>
    </row>
    <row r="108" spans="1:13" ht="22.5">
      <c r="A108" s="677" t="s">
        <v>1357</v>
      </c>
      <c r="B108" s="641">
        <v>1</v>
      </c>
      <c r="C108" s="649">
        <v>4000</v>
      </c>
      <c r="D108" s="647" t="s">
        <v>1347</v>
      </c>
      <c r="E108" s="313"/>
      <c r="F108" s="313"/>
      <c r="G108" s="313"/>
      <c r="H108" s="313"/>
      <c r="I108" s="313"/>
      <c r="J108" s="313"/>
      <c r="K108" s="313"/>
      <c r="L108" s="648">
        <f t="shared" si="0"/>
        <v>48000</v>
      </c>
      <c r="M108" s="313"/>
    </row>
    <row r="109" spans="1:13" ht="22.5">
      <c r="A109" s="677" t="s">
        <v>1357</v>
      </c>
      <c r="B109" s="641">
        <v>1</v>
      </c>
      <c r="C109" s="649">
        <v>4000</v>
      </c>
      <c r="D109" s="647" t="s">
        <v>1347</v>
      </c>
      <c r="E109" s="313"/>
      <c r="F109" s="313"/>
      <c r="G109" s="313"/>
      <c r="H109" s="313"/>
      <c r="I109" s="313"/>
      <c r="J109" s="313"/>
      <c r="K109" s="313"/>
      <c r="L109" s="648">
        <f t="shared" si="0"/>
        <v>48000</v>
      </c>
      <c r="M109" s="313"/>
    </row>
    <row r="110" spans="1:13" ht="22.5">
      <c r="A110" s="677" t="s">
        <v>1357</v>
      </c>
      <c r="B110" s="641">
        <v>1</v>
      </c>
      <c r="C110" s="649">
        <v>4000</v>
      </c>
      <c r="D110" s="647" t="s">
        <v>1347</v>
      </c>
      <c r="E110" s="313"/>
      <c r="F110" s="313"/>
      <c r="G110" s="313"/>
      <c r="H110" s="313"/>
      <c r="I110" s="313"/>
      <c r="J110" s="313"/>
      <c r="K110" s="313"/>
      <c r="L110" s="648">
        <f t="shared" si="0"/>
        <v>48000</v>
      </c>
      <c r="M110" s="313"/>
    </row>
    <row r="111" spans="1:13" ht="22.5">
      <c r="A111" s="677" t="s">
        <v>1357</v>
      </c>
      <c r="B111" s="641">
        <v>1</v>
      </c>
      <c r="C111" s="649">
        <v>4200</v>
      </c>
      <c r="D111" s="647" t="s">
        <v>1347</v>
      </c>
      <c r="E111" s="313"/>
      <c r="F111" s="313"/>
      <c r="G111" s="313"/>
      <c r="H111" s="313"/>
      <c r="I111" s="313"/>
      <c r="J111" s="313"/>
      <c r="K111" s="313"/>
      <c r="L111" s="648">
        <f t="shared" si="0"/>
        <v>50400</v>
      </c>
      <c r="M111" s="313"/>
    </row>
    <row r="112" spans="1:13" ht="22.5">
      <c r="A112" s="677" t="s">
        <v>1357</v>
      </c>
      <c r="B112" s="641">
        <v>1</v>
      </c>
      <c r="C112" s="649">
        <v>4200</v>
      </c>
      <c r="D112" s="647" t="s">
        <v>1347</v>
      </c>
      <c r="E112" s="313"/>
      <c r="F112" s="313"/>
      <c r="G112" s="313"/>
      <c r="H112" s="313"/>
      <c r="I112" s="313"/>
      <c r="J112" s="313"/>
      <c r="K112" s="313"/>
      <c r="L112" s="648">
        <f t="shared" si="0"/>
        <v>50400</v>
      </c>
      <c r="M112" s="313"/>
    </row>
    <row r="113" spans="1:13" ht="22.5">
      <c r="A113" s="677" t="s">
        <v>1357</v>
      </c>
      <c r="B113" s="641">
        <v>1</v>
      </c>
      <c r="C113" s="649">
        <v>4200</v>
      </c>
      <c r="D113" s="647" t="s">
        <v>1347</v>
      </c>
      <c r="E113" s="313"/>
      <c r="F113" s="313"/>
      <c r="G113" s="313"/>
      <c r="H113" s="313"/>
      <c r="I113" s="313"/>
      <c r="J113" s="313"/>
      <c r="K113" s="313"/>
      <c r="L113" s="648">
        <f t="shared" si="0"/>
        <v>50400</v>
      </c>
      <c r="M113" s="313"/>
    </row>
    <row r="114" spans="1:13" ht="22.5">
      <c r="A114" s="677" t="s">
        <v>1357</v>
      </c>
      <c r="B114" s="641">
        <v>1</v>
      </c>
      <c r="C114" s="649">
        <v>4200</v>
      </c>
      <c r="D114" s="647" t="s">
        <v>1347</v>
      </c>
      <c r="E114" s="313"/>
      <c r="F114" s="313"/>
      <c r="G114" s="313"/>
      <c r="H114" s="313"/>
      <c r="I114" s="313"/>
      <c r="J114" s="313"/>
      <c r="K114" s="313"/>
      <c r="L114" s="648">
        <f t="shared" si="0"/>
        <v>50400</v>
      </c>
      <c r="M114" s="313"/>
    </row>
    <row r="115" spans="1:13" ht="22.5">
      <c r="A115" s="677" t="s">
        <v>1357</v>
      </c>
      <c r="B115" s="641">
        <v>1</v>
      </c>
      <c r="C115" s="649">
        <v>4800</v>
      </c>
      <c r="D115" s="647" t="s">
        <v>1347</v>
      </c>
      <c r="E115" s="313"/>
      <c r="F115" s="313"/>
      <c r="G115" s="313"/>
      <c r="H115" s="313"/>
      <c r="I115" s="313"/>
      <c r="J115" s="313"/>
      <c r="K115" s="313"/>
      <c r="L115" s="648">
        <f t="shared" si="0"/>
        <v>57600</v>
      </c>
      <c r="M115" s="313"/>
    </row>
    <row r="116" spans="1:13" ht="22.5">
      <c r="A116" s="677" t="s">
        <v>1357</v>
      </c>
      <c r="B116" s="641">
        <v>1</v>
      </c>
      <c r="C116" s="649">
        <v>4800</v>
      </c>
      <c r="D116" s="647" t="s">
        <v>1347</v>
      </c>
      <c r="E116" s="313"/>
      <c r="F116" s="313"/>
      <c r="G116" s="313"/>
      <c r="H116" s="313"/>
      <c r="I116" s="313"/>
      <c r="J116" s="313"/>
      <c r="K116" s="313"/>
      <c r="L116" s="648">
        <f t="shared" si="0"/>
        <v>57600</v>
      </c>
      <c r="M116" s="313"/>
    </row>
    <row r="117" spans="1:13" ht="22.5">
      <c r="A117" s="677" t="s">
        <v>1357</v>
      </c>
      <c r="B117" s="641">
        <v>1</v>
      </c>
      <c r="C117" s="649">
        <v>4800</v>
      </c>
      <c r="D117" s="647" t="s">
        <v>1347</v>
      </c>
      <c r="E117" s="313"/>
      <c r="F117" s="313"/>
      <c r="G117" s="313"/>
      <c r="H117" s="313"/>
      <c r="I117" s="313"/>
      <c r="J117" s="313"/>
      <c r="K117" s="313"/>
      <c r="L117" s="648">
        <f t="shared" si="0"/>
        <v>57600</v>
      </c>
      <c r="M117" s="313"/>
    </row>
    <row r="118" spans="1:13" ht="22.5">
      <c r="A118" s="677" t="s">
        <v>1357</v>
      </c>
      <c r="B118" s="641">
        <v>1</v>
      </c>
      <c r="C118" s="649">
        <v>4500</v>
      </c>
      <c r="D118" s="647" t="s">
        <v>1347</v>
      </c>
      <c r="E118" s="313"/>
      <c r="F118" s="313"/>
      <c r="G118" s="313"/>
      <c r="H118" s="313"/>
      <c r="I118" s="313"/>
      <c r="J118" s="313"/>
      <c r="K118" s="313"/>
      <c r="L118" s="648">
        <f t="shared" si="0"/>
        <v>54000</v>
      </c>
      <c r="M118" s="313"/>
    </row>
    <row r="119" spans="1:13" ht="22.5">
      <c r="A119" s="677" t="s">
        <v>1358</v>
      </c>
      <c r="B119" s="641">
        <v>1</v>
      </c>
      <c r="C119" s="649">
        <v>4000</v>
      </c>
      <c r="D119" s="647" t="s">
        <v>1347</v>
      </c>
      <c r="E119" s="313"/>
      <c r="F119" s="313"/>
      <c r="G119" s="313"/>
      <c r="H119" s="313"/>
      <c r="I119" s="313"/>
      <c r="J119" s="313"/>
      <c r="K119" s="313"/>
      <c r="L119" s="648">
        <f t="shared" si="0"/>
        <v>48000</v>
      </c>
      <c r="M119" s="313"/>
    </row>
    <row r="120" spans="1:13" ht="22.5">
      <c r="A120" s="677" t="s">
        <v>1358</v>
      </c>
      <c r="B120" s="641">
        <v>1</v>
      </c>
      <c r="C120" s="649">
        <v>4000</v>
      </c>
      <c r="D120" s="647" t="s">
        <v>1347</v>
      </c>
      <c r="E120" s="313"/>
      <c r="F120" s="313"/>
      <c r="G120" s="313"/>
      <c r="H120" s="313"/>
      <c r="I120" s="313"/>
      <c r="J120" s="313"/>
      <c r="K120" s="313"/>
      <c r="L120" s="648">
        <f t="shared" si="0"/>
        <v>48000</v>
      </c>
      <c r="M120" s="313"/>
    </row>
    <row r="121" spans="1:13" ht="22.5">
      <c r="A121" s="677" t="s">
        <v>1358</v>
      </c>
      <c r="B121" s="641">
        <v>1</v>
      </c>
      <c r="C121" s="649">
        <v>3800</v>
      </c>
      <c r="D121" s="647" t="s">
        <v>1347</v>
      </c>
      <c r="E121" s="313"/>
      <c r="F121" s="313"/>
      <c r="G121" s="313"/>
      <c r="H121" s="313"/>
      <c r="I121" s="313"/>
      <c r="J121" s="313"/>
      <c r="K121" s="313"/>
      <c r="L121" s="648">
        <f t="shared" si="0"/>
        <v>45600</v>
      </c>
      <c r="M121" s="313"/>
    </row>
    <row r="122" spans="1:13" ht="22.5">
      <c r="A122" s="677" t="s">
        <v>1358</v>
      </c>
      <c r="B122" s="641">
        <v>1</v>
      </c>
      <c r="C122" s="649">
        <v>3800</v>
      </c>
      <c r="D122" s="647" t="s">
        <v>1347</v>
      </c>
      <c r="E122" s="313"/>
      <c r="F122" s="313"/>
      <c r="G122" s="313"/>
      <c r="H122" s="313"/>
      <c r="I122" s="313"/>
      <c r="J122" s="313"/>
      <c r="K122" s="313"/>
      <c r="L122" s="648">
        <f t="shared" si="0"/>
        <v>45600</v>
      </c>
      <c r="M122" s="313"/>
    </row>
    <row r="123" spans="1:13" ht="22.5">
      <c r="A123" s="677" t="s">
        <v>1358</v>
      </c>
      <c r="B123" s="641">
        <v>1</v>
      </c>
      <c r="C123" s="649">
        <v>3500</v>
      </c>
      <c r="D123" s="647" t="s">
        <v>1347</v>
      </c>
      <c r="E123" s="313"/>
      <c r="F123" s="313"/>
      <c r="G123" s="313"/>
      <c r="H123" s="313"/>
      <c r="I123" s="313"/>
      <c r="J123" s="313"/>
      <c r="K123" s="313"/>
      <c r="L123" s="648">
        <f t="shared" si="0"/>
        <v>42000</v>
      </c>
      <c r="M123" s="313"/>
    </row>
    <row r="124" spans="1:13" ht="22.5">
      <c r="A124" s="677" t="s">
        <v>1358</v>
      </c>
      <c r="B124" s="641">
        <v>1</v>
      </c>
      <c r="C124" s="649">
        <v>3500</v>
      </c>
      <c r="D124" s="647" t="s">
        <v>1347</v>
      </c>
      <c r="E124" s="313"/>
      <c r="F124" s="313"/>
      <c r="G124" s="313"/>
      <c r="H124" s="313"/>
      <c r="I124" s="313"/>
      <c r="J124" s="313"/>
      <c r="K124" s="313"/>
      <c r="L124" s="648">
        <f t="shared" ref="L124:L142" si="1">+C124*12</f>
        <v>42000</v>
      </c>
      <c r="M124" s="313"/>
    </row>
    <row r="125" spans="1:13" ht="22.5">
      <c r="A125" s="686" t="s">
        <v>1359</v>
      </c>
      <c r="B125" s="641">
        <v>1</v>
      </c>
      <c r="C125" s="649">
        <v>11000</v>
      </c>
      <c r="D125" s="647" t="s">
        <v>1347</v>
      </c>
      <c r="E125" s="313"/>
      <c r="F125" s="313"/>
      <c r="G125" s="313"/>
      <c r="H125" s="313"/>
      <c r="I125" s="313"/>
      <c r="J125" s="313"/>
      <c r="K125" s="313"/>
      <c r="L125" s="648">
        <f t="shared" si="1"/>
        <v>132000</v>
      </c>
      <c r="M125" s="313"/>
    </row>
    <row r="126" spans="1:13" ht="22.5">
      <c r="A126" s="677" t="s">
        <v>1360</v>
      </c>
      <c r="B126" s="641">
        <v>1</v>
      </c>
      <c r="C126" s="649">
        <v>8000</v>
      </c>
      <c r="D126" s="647" t="s">
        <v>1347</v>
      </c>
      <c r="E126" s="313"/>
      <c r="F126" s="313"/>
      <c r="G126" s="313"/>
      <c r="H126" s="313"/>
      <c r="I126" s="313"/>
      <c r="J126" s="313"/>
      <c r="K126" s="313"/>
      <c r="L126" s="648">
        <f t="shared" si="1"/>
        <v>96000</v>
      </c>
      <c r="M126" s="313"/>
    </row>
    <row r="127" spans="1:13" ht="22.5">
      <c r="A127" s="677" t="s">
        <v>1361</v>
      </c>
      <c r="B127" s="641">
        <v>1</v>
      </c>
      <c r="C127" s="649">
        <v>9000</v>
      </c>
      <c r="D127" s="647" t="s">
        <v>1347</v>
      </c>
      <c r="E127" s="313"/>
      <c r="F127" s="313"/>
      <c r="G127" s="313"/>
      <c r="H127" s="313"/>
      <c r="I127" s="313"/>
      <c r="J127" s="313"/>
      <c r="K127" s="313"/>
      <c r="L127" s="648">
        <f t="shared" si="1"/>
        <v>108000</v>
      </c>
      <c r="M127" s="313"/>
    </row>
    <row r="128" spans="1:13" ht="22.5">
      <c r="A128" s="677" t="s">
        <v>1361</v>
      </c>
      <c r="B128" s="641">
        <v>1</v>
      </c>
      <c r="C128" s="649">
        <v>6000</v>
      </c>
      <c r="D128" s="647" t="s">
        <v>1347</v>
      </c>
      <c r="E128" s="313"/>
      <c r="F128" s="313"/>
      <c r="G128" s="313"/>
      <c r="H128" s="313"/>
      <c r="I128" s="313"/>
      <c r="J128" s="313"/>
      <c r="K128" s="313"/>
      <c r="L128" s="648">
        <f t="shared" si="1"/>
        <v>72000</v>
      </c>
      <c r="M128" s="313"/>
    </row>
    <row r="129" spans="1:13" ht="22.5">
      <c r="A129" s="677" t="s">
        <v>1361</v>
      </c>
      <c r="B129" s="641">
        <v>1</v>
      </c>
      <c r="C129" s="649">
        <v>4500</v>
      </c>
      <c r="D129" s="647" t="s">
        <v>1347</v>
      </c>
      <c r="E129" s="313"/>
      <c r="F129" s="313"/>
      <c r="G129" s="313"/>
      <c r="H129" s="313"/>
      <c r="I129" s="313"/>
      <c r="J129" s="313"/>
      <c r="K129" s="313"/>
      <c r="L129" s="648">
        <f t="shared" si="1"/>
        <v>54000</v>
      </c>
      <c r="M129" s="313"/>
    </row>
    <row r="130" spans="1:13" ht="22.5">
      <c r="A130" s="677" t="s">
        <v>1362</v>
      </c>
      <c r="B130" s="641">
        <v>1</v>
      </c>
      <c r="C130" s="649">
        <v>4500</v>
      </c>
      <c r="D130" s="647" t="s">
        <v>1347</v>
      </c>
      <c r="E130" s="313"/>
      <c r="F130" s="313"/>
      <c r="G130" s="313"/>
      <c r="H130" s="313"/>
      <c r="I130" s="313"/>
      <c r="J130" s="313"/>
      <c r="K130" s="313"/>
      <c r="L130" s="648">
        <f t="shared" si="1"/>
        <v>54000</v>
      </c>
      <c r="M130" s="313"/>
    </row>
    <row r="131" spans="1:13" ht="22.5">
      <c r="A131" s="677" t="s">
        <v>1362</v>
      </c>
      <c r="B131" s="641">
        <v>1</v>
      </c>
      <c r="C131" s="649">
        <v>4500</v>
      </c>
      <c r="D131" s="647" t="s">
        <v>1347</v>
      </c>
      <c r="E131" s="313"/>
      <c r="F131" s="313"/>
      <c r="G131" s="313"/>
      <c r="H131" s="313"/>
      <c r="I131" s="313"/>
      <c r="J131" s="313"/>
      <c r="K131" s="313"/>
      <c r="L131" s="648">
        <f t="shared" si="1"/>
        <v>54000</v>
      </c>
      <c r="M131" s="313"/>
    </row>
    <row r="132" spans="1:13" ht="22.5">
      <c r="A132" s="677" t="s">
        <v>1363</v>
      </c>
      <c r="B132" s="641">
        <v>1</v>
      </c>
      <c r="C132" s="649">
        <v>12000</v>
      </c>
      <c r="D132" s="647" t="s">
        <v>1347</v>
      </c>
      <c r="E132" s="313"/>
      <c r="F132" s="313"/>
      <c r="G132" s="313"/>
      <c r="H132" s="313"/>
      <c r="I132" s="313"/>
      <c r="J132" s="313"/>
      <c r="K132" s="313"/>
      <c r="L132" s="648">
        <f t="shared" si="1"/>
        <v>144000</v>
      </c>
      <c r="M132" s="313"/>
    </row>
    <row r="133" spans="1:13" ht="22.5">
      <c r="A133" s="677" t="s">
        <v>1364</v>
      </c>
      <c r="B133" s="641">
        <v>1</v>
      </c>
      <c r="C133" s="649">
        <v>3000</v>
      </c>
      <c r="D133" s="647" t="s">
        <v>1347</v>
      </c>
      <c r="E133" s="313"/>
      <c r="F133" s="313"/>
      <c r="G133" s="313"/>
      <c r="H133" s="313"/>
      <c r="I133" s="313"/>
      <c r="J133" s="313"/>
      <c r="K133" s="313"/>
      <c r="L133" s="648">
        <f t="shared" si="1"/>
        <v>36000</v>
      </c>
      <c r="M133" s="313"/>
    </row>
    <row r="134" spans="1:13" ht="22.5">
      <c r="A134" s="677" t="s">
        <v>1360</v>
      </c>
      <c r="B134" s="641">
        <v>1</v>
      </c>
      <c r="C134" s="649">
        <v>10000</v>
      </c>
      <c r="D134" s="647" t="s">
        <v>1347</v>
      </c>
      <c r="E134" s="313"/>
      <c r="F134" s="313"/>
      <c r="G134" s="313"/>
      <c r="H134" s="313"/>
      <c r="I134" s="313"/>
      <c r="J134" s="313"/>
      <c r="K134" s="313"/>
      <c r="L134" s="648">
        <f t="shared" si="1"/>
        <v>120000</v>
      </c>
      <c r="M134" s="313"/>
    </row>
    <row r="135" spans="1:13" ht="22.5">
      <c r="A135" s="677" t="s">
        <v>1365</v>
      </c>
      <c r="B135" s="641">
        <v>1</v>
      </c>
      <c r="C135" s="649">
        <v>7500</v>
      </c>
      <c r="D135" s="647" t="s">
        <v>1347</v>
      </c>
      <c r="E135" s="313"/>
      <c r="F135" s="313"/>
      <c r="G135" s="313"/>
      <c r="H135" s="313"/>
      <c r="I135" s="313"/>
      <c r="J135" s="313"/>
      <c r="K135" s="313"/>
      <c r="L135" s="648">
        <f t="shared" si="1"/>
        <v>90000</v>
      </c>
      <c r="M135" s="313"/>
    </row>
    <row r="136" spans="1:13" ht="22.5">
      <c r="A136" s="677" t="s">
        <v>1365</v>
      </c>
      <c r="B136" s="641">
        <v>1</v>
      </c>
      <c r="C136" s="649">
        <v>4500</v>
      </c>
      <c r="D136" s="647" t="s">
        <v>1347</v>
      </c>
      <c r="E136" s="313"/>
      <c r="F136" s="313"/>
      <c r="G136" s="313"/>
      <c r="H136" s="313"/>
      <c r="I136" s="313"/>
      <c r="J136" s="313"/>
      <c r="K136" s="313"/>
      <c r="L136" s="648">
        <f t="shared" si="1"/>
        <v>54000</v>
      </c>
      <c r="M136" s="313"/>
    </row>
    <row r="137" spans="1:13" ht="22.5">
      <c r="A137" s="677" t="s">
        <v>1365</v>
      </c>
      <c r="B137" s="641">
        <v>1</v>
      </c>
      <c r="C137" s="649">
        <v>4500</v>
      </c>
      <c r="D137" s="647" t="s">
        <v>1347</v>
      </c>
      <c r="E137" s="313"/>
      <c r="F137" s="313"/>
      <c r="G137" s="313"/>
      <c r="H137" s="313"/>
      <c r="I137" s="313"/>
      <c r="J137" s="313"/>
      <c r="K137" s="313"/>
      <c r="L137" s="648">
        <f t="shared" si="1"/>
        <v>54000</v>
      </c>
      <c r="M137" s="313"/>
    </row>
    <row r="138" spans="1:13" ht="22.5">
      <c r="A138" s="677" t="s">
        <v>1365</v>
      </c>
      <c r="B138" s="641">
        <v>1</v>
      </c>
      <c r="C138" s="649">
        <v>4500</v>
      </c>
      <c r="D138" s="647" t="s">
        <v>1347</v>
      </c>
      <c r="E138" s="313"/>
      <c r="F138" s="313"/>
      <c r="G138" s="313"/>
      <c r="H138" s="313"/>
      <c r="I138" s="313"/>
      <c r="J138" s="313"/>
      <c r="K138" s="313"/>
      <c r="L138" s="648">
        <f t="shared" si="1"/>
        <v>54000</v>
      </c>
      <c r="M138" s="313"/>
    </row>
    <row r="139" spans="1:13" ht="22.5">
      <c r="A139" s="677" t="s">
        <v>1365</v>
      </c>
      <c r="B139" s="641">
        <v>1</v>
      </c>
      <c r="C139" s="649">
        <v>4500</v>
      </c>
      <c r="D139" s="647" t="s">
        <v>1347</v>
      </c>
      <c r="E139" s="313"/>
      <c r="F139" s="313"/>
      <c r="G139" s="313"/>
      <c r="H139" s="313"/>
      <c r="I139" s="313"/>
      <c r="J139" s="313"/>
      <c r="K139" s="313"/>
      <c r="L139" s="648">
        <f t="shared" si="1"/>
        <v>54000</v>
      </c>
      <c r="M139" s="313"/>
    </row>
    <row r="140" spans="1:13" ht="22.5">
      <c r="A140" s="677" t="s">
        <v>1366</v>
      </c>
      <c r="B140" s="641">
        <v>1</v>
      </c>
      <c r="C140" s="649">
        <v>5000</v>
      </c>
      <c r="D140" s="647" t="s">
        <v>1347</v>
      </c>
      <c r="E140" s="313"/>
      <c r="F140" s="313"/>
      <c r="G140" s="313"/>
      <c r="H140" s="313"/>
      <c r="I140" s="313"/>
      <c r="J140" s="313"/>
      <c r="K140" s="313"/>
      <c r="L140" s="648">
        <f t="shared" si="1"/>
        <v>60000</v>
      </c>
      <c r="M140" s="313"/>
    </row>
    <row r="141" spans="1:13" ht="22.5">
      <c r="A141" s="677" t="s">
        <v>1367</v>
      </c>
      <c r="B141" s="641">
        <v>1</v>
      </c>
      <c r="C141" s="649">
        <v>4600</v>
      </c>
      <c r="D141" s="647" t="s">
        <v>1347</v>
      </c>
      <c r="E141" s="313"/>
      <c r="F141" s="313"/>
      <c r="G141" s="313"/>
      <c r="H141" s="313"/>
      <c r="I141" s="313"/>
      <c r="J141" s="313"/>
      <c r="K141" s="313"/>
      <c r="L141" s="648">
        <f t="shared" si="1"/>
        <v>55200</v>
      </c>
      <c r="M141" s="313"/>
    </row>
    <row r="142" spans="1:13" ht="22.5">
      <c r="A142" s="677" t="s">
        <v>1351</v>
      </c>
      <c r="B142" s="641">
        <v>1</v>
      </c>
      <c r="C142" s="649">
        <v>6000</v>
      </c>
      <c r="D142" s="647" t="s">
        <v>1347</v>
      </c>
      <c r="E142" s="313"/>
      <c r="F142" s="313"/>
      <c r="G142" s="313"/>
      <c r="H142" s="313"/>
      <c r="I142" s="313"/>
      <c r="J142" s="313"/>
      <c r="K142" s="313"/>
      <c r="L142" s="648">
        <f t="shared" si="1"/>
        <v>72000</v>
      </c>
      <c r="M142" s="313"/>
    </row>
    <row r="143" spans="1:13">
      <c r="A143" s="527" t="s">
        <v>86</v>
      </c>
      <c r="B143" s="651">
        <v>1</v>
      </c>
      <c r="C143" s="652"/>
      <c r="D143" s="653"/>
      <c r="E143" s="654"/>
      <c r="F143" s="651"/>
      <c r="G143" s="655"/>
      <c r="H143" s="656"/>
      <c r="I143" s="651"/>
      <c r="J143" s="655"/>
      <c r="K143" s="655"/>
      <c r="L143" s="656"/>
      <c r="M143" s="656">
        <v>200000</v>
      </c>
    </row>
    <row r="144" spans="1:13" ht="22.5" customHeight="1" thickBot="1">
      <c r="A144" s="678" t="s">
        <v>1368</v>
      </c>
      <c r="B144" s="657">
        <v>1</v>
      </c>
      <c r="C144" s="658"/>
      <c r="D144" s="659"/>
      <c r="E144" s="660"/>
      <c r="F144" s="657"/>
      <c r="G144" s="661"/>
      <c r="H144" s="662">
        <v>18969</v>
      </c>
      <c r="I144" s="657"/>
      <c r="J144" s="661">
        <v>3181.45</v>
      </c>
      <c r="K144" s="661">
        <f>120.97+580.65</f>
        <v>701.62</v>
      </c>
      <c r="L144" s="662"/>
      <c r="M144" s="662"/>
    </row>
    <row r="145" spans="1:13" ht="15.75" thickBot="1">
      <c r="A145" s="679" t="s">
        <v>1369</v>
      </c>
      <c r="B145" s="663">
        <v>118</v>
      </c>
      <c r="C145" s="664">
        <f>SUM(C8:C143)</f>
        <v>606289</v>
      </c>
      <c r="D145" s="665"/>
      <c r="E145" s="666">
        <f>SUM(E8:E144)</f>
        <v>463836</v>
      </c>
      <c r="F145" s="666">
        <f t="shared" ref="F145:M145" si="2">SUM(F8:F144)</f>
        <v>18300</v>
      </c>
      <c r="G145" s="666">
        <f t="shared" si="2"/>
        <v>554400</v>
      </c>
      <c r="H145" s="666">
        <f t="shared" si="2"/>
        <v>234201</v>
      </c>
      <c r="I145" s="666">
        <f t="shared" si="2"/>
        <v>762000</v>
      </c>
      <c r="J145" s="666">
        <f t="shared" si="2"/>
        <v>21181.45</v>
      </c>
      <c r="K145" s="666">
        <f t="shared" si="2"/>
        <v>81701.62</v>
      </c>
      <c r="L145" s="666">
        <f t="shared" si="2"/>
        <v>5834400</v>
      </c>
      <c r="M145" s="667">
        <f t="shared" si="2"/>
        <v>200000</v>
      </c>
    </row>
    <row r="146" spans="1:13" ht="15.75" thickBot="1">
      <c r="A146" s="680"/>
      <c r="B146"/>
      <c r="C146"/>
      <c r="D146"/>
      <c r="E146"/>
      <c r="F146"/>
      <c r="G146"/>
      <c r="H146"/>
      <c r="I146"/>
      <c r="J146"/>
      <c r="K146" s="854" t="s">
        <v>1370</v>
      </c>
      <c r="L146" s="855"/>
      <c r="M146" s="668">
        <f>SUM(E145,E145:M145)</f>
        <v>8633856.0700000003</v>
      </c>
    </row>
  </sheetData>
  <mergeCells count="6">
    <mergeCell ref="E6:M6"/>
    <mergeCell ref="K146:L146"/>
    <mergeCell ref="A6:A7"/>
    <mergeCell ref="B6:B7"/>
    <mergeCell ref="C6:C7"/>
    <mergeCell ref="D6:D7"/>
  </mergeCells>
  <pageMargins left="0.70866141732283472" right="0.70866141732283472" top="0.74803149606299213" bottom="0.74803149606299213" header="0.31496062992125984" footer="0.31496062992125984"/>
  <pageSetup paperSize="17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4"/>
  <sheetViews>
    <sheetView tabSelected="1" view="pageBreakPreview" topLeftCell="A712" zoomScale="91" zoomScaleNormal="100" zoomScaleSheetLayoutView="91" workbookViewId="0">
      <selection activeCell="A720" sqref="A720"/>
    </sheetView>
  </sheetViews>
  <sheetFormatPr baseColWidth="10" defaultRowHeight="11.25"/>
  <cols>
    <col min="1" max="1" width="31" style="24" customWidth="1"/>
    <col min="2" max="2" width="11.42578125" style="24"/>
    <col min="3" max="3" width="16.7109375" style="24" customWidth="1"/>
    <col min="4" max="4" width="16.42578125" style="227" customWidth="1"/>
    <col min="5" max="5" width="15.28515625" style="24" customWidth="1"/>
    <col min="6" max="6" width="14.140625" style="24" customWidth="1"/>
    <col min="7" max="7" width="15.7109375" style="24" bestFit="1" customWidth="1"/>
    <col min="8" max="8" width="11.42578125" style="24"/>
    <col min="9" max="9" width="13.42578125" style="24" bestFit="1" customWidth="1"/>
    <col min="10" max="10" width="12" style="24" bestFit="1" customWidth="1"/>
    <col min="11" max="11" width="15.7109375" style="24" bestFit="1" customWidth="1"/>
    <col min="12" max="12" width="13.7109375" style="24" bestFit="1" customWidth="1"/>
    <col min="13" max="13" width="15.28515625" style="24" bestFit="1" customWidth="1"/>
    <col min="14" max="14" width="13" style="24" bestFit="1" customWidth="1"/>
    <col min="15" max="15" width="13.7109375" style="24" bestFit="1" customWidth="1"/>
    <col min="16" max="16" width="16.7109375" style="24" bestFit="1" customWidth="1"/>
    <col min="17" max="17" width="14.140625" style="24" bestFit="1" customWidth="1"/>
    <col min="18" max="18" width="13" style="24" bestFit="1" customWidth="1"/>
    <col min="19" max="19" width="16.42578125" style="24" bestFit="1" customWidth="1"/>
    <col min="20" max="20" width="16.42578125" style="24" hidden="1" customWidth="1"/>
    <col min="21" max="256" width="11.42578125" style="24"/>
    <col min="257" max="257" width="26.28515625" style="24" customWidth="1"/>
    <col min="258" max="259" width="11.42578125" style="24"/>
    <col min="260" max="260" width="14" style="24" customWidth="1"/>
    <col min="261" max="261" width="15.28515625" style="24" customWidth="1"/>
    <col min="262" max="262" width="11.42578125" style="24" customWidth="1"/>
    <col min="263" max="263" width="15.7109375" style="24" bestFit="1" customWidth="1"/>
    <col min="264" max="264" width="11.42578125" style="24"/>
    <col min="265" max="265" width="13.42578125" style="24" bestFit="1" customWidth="1"/>
    <col min="266" max="266" width="12" style="24" bestFit="1" customWidth="1"/>
    <col min="267" max="267" width="15.7109375" style="24" bestFit="1" customWidth="1"/>
    <col min="268" max="268" width="13.7109375" style="24" bestFit="1" customWidth="1"/>
    <col min="269" max="269" width="15.28515625" style="24" bestFit="1" customWidth="1"/>
    <col min="270" max="270" width="13" style="24" bestFit="1" customWidth="1"/>
    <col min="271" max="271" width="13.7109375" style="24" bestFit="1" customWidth="1"/>
    <col min="272" max="272" width="16.7109375" style="24" bestFit="1" customWidth="1"/>
    <col min="273" max="273" width="14.140625" style="24" bestFit="1" customWidth="1"/>
    <col min="274" max="274" width="13" style="24" bestFit="1" customWidth="1"/>
    <col min="275" max="275" width="16.42578125" style="24" bestFit="1" customWidth="1"/>
    <col min="276" max="276" width="0" style="24" hidden="1" customWidth="1"/>
    <col min="277" max="512" width="11.42578125" style="24"/>
    <col min="513" max="513" width="26.28515625" style="24" customWidth="1"/>
    <col min="514" max="515" width="11.42578125" style="24"/>
    <col min="516" max="516" width="14" style="24" customWidth="1"/>
    <col min="517" max="517" width="15.28515625" style="24" customWidth="1"/>
    <col min="518" max="518" width="11.42578125" style="24" customWidth="1"/>
    <col min="519" max="519" width="15.7109375" style="24" bestFit="1" customWidth="1"/>
    <col min="520" max="520" width="11.42578125" style="24"/>
    <col min="521" max="521" width="13.42578125" style="24" bestFit="1" customWidth="1"/>
    <col min="522" max="522" width="12" style="24" bestFit="1" customWidth="1"/>
    <col min="523" max="523" width="15.7109375" style="24" bestFit="1" customWidth="1"/>
    <col min="524" max="524" width="13.7109375" style="24" bestFit="1" customWidth="1"/>
    <col min="525" max="525" width="15.28515625" style="24" bestFit="1" customWidth="1"/>
    <col min="526" max="526" width="13" style="24" bestFit="1" customWidth="1"/>
    <col min="527" max="527" width="13.7109375" style="24" bestFit="1" customWidth="1"/>
    <col min="528" max="528" width="16.7109375" style="24" bestFit="1" customWidth="1"/>
    <col min="529" max="529" width="14.140625" style="24" bestFit="1" customWidth="1"/>
    <col min="530" max="530" width="13" style="24" bestFit="1" customWidth="1"/>
    <col min="531" max="531" width="16.42578125" style="24" bestFit="1" customWidth="1"/>
    <col min="532" max="532" width="0" style="24" hidden="1" customWidth="1"/>
    <col min="533" max="768" width="11.42578125" style="24"/>
    <col min="769" max="769" width="26.28515625" style="24" customWidth="1"/>
    <col min="770" max="771" width="11.42578125" style="24"/>
    <col min="772" max="772" width="14" style="24" customWidth="1"/>
    <col min="773" max="773" width="15.28515625" style="24" customWidth="1"/>
    <col min="774" max="774" width="11.42578125" style="24" customWidth="1"/>
    <col min="775" max="775" width="15.7109375" style="24" bestFit="1" customWidth="1"/>
    <col min="776" max="776" width="11.42578125" style="24"/>
    <col min="777" max="777" width="13.42578125" style="24" bestFit="1" customWidth="1"/>
    <col min="778" max="778" width="12" style="24" bestFit="1" customWidth="1"/>
    <col min="779" max="779" width="15.7109375" style="24" bestFit="1" customWidth="1"/>
    <col min="780" max="780" width="13.7109375" style="24" bestFit="1" customWidth="1"/>
    <col min="781" max="781" width="15.28515625" style="24" bestFit="1" customWidth="1"/>
    <col min="782" max="782" width="13" style="24" bestFit="1" customWidth="1"/>
    <col min="783" max="783" width="13.7109375" style="24" bestFit="1" customWidth="1"/>
    <col min="784" max="784" width="16.7109375" style="24" bestFit="1" customWidth="1"/>
    <col min="785" max="785" width="14.140625" style="24" bestFit="1" customWidth="1"/>
    <col min="786" max="786" width="13" style="24" bestFit="1" customWidth="1"/>
    <col min="787" max="787" width="16.42578125" style="24" bestFit="1" customWidth="1"/>
    <col min="788" max="788" width="0" style="24" hidden="1" customWidth="1"/>
    <col min="789" max="1024" width="11.42578125" style="24"/>
    <col min="1025" max="1025" width="26.28515625" style="24" customWidth="1"/>
    <col min="1026" max="1027" width="11.42578125" style="24"/>
    <col min="1028" max="1028" width="14" style="24" customWidth="1"/>
    <col min="1029" max="1029" width="15.28515625" style="24" customWidth="1"/>
    <col min="1030" max="1030" width="11.42578125" style="24" customWidth="1"/>
    <col min="1031" max="1031" width="15.7109375" style="24" bestFit="1" customWidth="1"/>
    <col min="1032" max="1032" width="11.42578125" style="24"/>
    <col min="1033" max="1033" width="13.42578125" style="24" bestFit="1" customWidth="1"/>
    <col min="1034" max="1034" width="12" style="24" bestFit="1" customWidth="1"/>
    <col min="1035" max="1035" width="15.7109375" style="24" bestFit="1" customWidth="1"/>
    <col min="1036" max="1036" width="13.7109375" style="24" bestFit="1" customWidth="1"/>
    <col min="1037" max="1037" width="15.28515625" style="24" bestFit="1" customWidth="1"/>
    <col min="1038" max="1038" width="13" style="24" bestFit="1" customWidth="1"/>
    <col min="1039" max="1039" width="13.7109375" style="24" bestFit="1" customWidth="1"/>
    <col min="1040" max="1040" width="16.7109375" style="24" bestFit="1" customWidth="1"/>
    <col min="1041" max="1041" width="14.140625" style="24" bestFit="1" customWidth="1"/>
    <col min="1042" max="1042" width="13" style="24" bestFit="1" customWidth="1"/>
    <col min="1043" max="1043" width="16.42578125" style="24" bestFit="1" customWidth="1"/>
    <col min="1044" max="1044" width="0" style="24" hidden="1" customWidth="1"/>
    <col min="1045" max="1280" width="11.42578125" style="24"/>
    <col min="1281" max="1281" width="26.28515625" style="24" customWidth="1"/>
    <col min="1282" max="1283" width="11.42578125" style="24"/>
    <col min="1284" max="1284" width="14" style="24" customWidth="1"/>
    <col min="1285" max="1285" width="15.28515625" style="24" customWidth="1"/>
    <col min="1286" max="1286" width="11.42578125" style="24" customWidth="1"/>
    <col min="1287" max="1287" width="15.7109375" style="24" bestFit="1" customWidth="1"/>
    <col min="1288" max="1288" width="11.42578125" style="24"/>
    <col min="1289" max="1289" width="13.42578125" style="24" bestFit="1" customWidth="1"/>
    <col min="1290" max="1290" width="12" style="24" bestFit="1" customWidth="1"/>
    <col min="1291" max="1291" width="15.7109375" style="24" bestFit="1" customWidth="1"/>
    <col min="1292" max="1292" width="13.7109375" style="24" bestFit="1" customWidth="1"/>
    <col min="1293" max="1293" width="15.28515625" style="24" bestFit="1" customWidth="1"/>
    <col min="1294" max="1294" width="13" style="24" bestFit="1" customWidth="1"/>
    <col min="1295" max="1295" width="13.7109375" style="24" bestFit="1" customWidth="1"/>
    <col min="1296" max="1296" width="16.7109375" style="24" bestFit="1" customWidth="1"/>
    <col min="1297" max="1297" width="14.140625" style="24" bestFit="1" customWidth="1"/>
    <col min="1298" max="1298" width="13" style="24" bestFit="1" customWidth="1"/>
    <col min="1299" max="1299" width="16.42578125" style="24" bestFit="1" customWidth="1"/>
    <col min="1300" max="1300" width="0" style="24" hidden="1" customWidth="1"/>
    <col min="1301" max="1536" width="11.42578125" style="24"/>
    <col min="1537" max="1537" width="26.28515625" style="24" customWidth="1"/>
    <col min="1538" max="1539" width="11.42578125" style="24"/>
    <col min="1540" max="1540" width="14" style="24" customWidth="1"/>
    <col min="1541" max="1541" width="15.28515625" style="24" customWidth="1"/>
    <col min="1542" max="1542" width="11.42578125" style="24" customWidth="1"/>
    <col min="1543" max="1543" width="15.7109375" style="24" bestFit="1" customWidth="1"/>
    <col min="1544" max="1544" width="11.42578125" style="24"/>
    <col min="1545" max="1545" width="13.42578125" style="24" bestFit="1" customWidth="1"/>
    <col min="1546" max="1546" width="12" style="24" bestFit="1" customWidth="1"/>
    <col min="1547" max="1547" width="15.7109375" style="24" bestFit="1" customWidth="1"/>
    <col min="1548" max="1548" width="13.7109375" style="24" bestFit="1" customWidth="1"/>
    <col min="1549" max="1549" width="15.28515625" style="24" bestFit="1" customWidth="1"/>
    <col min="1550" max="1550" width="13" style="24" bestFit="1" customWidth="1"/>
    <col min="1551" max="1551" width="13.7109375" style="24" bestFit="1" customWidth="1"/>
    <col min="1552" max="1552" width="16.7109375" style="24" bestFit="1" customWidth="1"/>
    <col min="1553" max="1553" width="14.140625" style="24" bestFit="1" customWidth="1"/>
    <col min="1554" max="1554" width="13" style="24" bestFit="1" customWidth="1"/>
    <col min="1555" max="1555" width="16.42578125" style="24" bestFit="1" customWidth="1"/>
    <col min="1556" max="1556" width="0" style="24" hidden="1" customWidth="1"/>
    <col min="1557" max="1792" width="11.42578125" style="24"/>
    <col min="1793" max="1793" width="26.28515625" style="24" customWidth="1"/>
    <col min="1794" max="1795" width="11.42578125" style="24"/>
    <col min="1796" max="1796" width="14" style="24" customWidth="1"/>
    <col min="1797" max="1797" width="15.28515625" style="24" customWidth="1"/>
    <col min="1798" max="1798" width="11.42578125" style="24" customWidth="1"/>
    <col min="1799" max="1799" width="15.7109375" style="24" bestFit="1" customWidth="1"/>
    <col min="1800" max="1800" width="11.42578125" style="24"/>
    <col min="1801" max="1801" width="13.42578125" style="24" bestFit="1" customWidth="1"/>
    <col min="1802" max="1802" width="12" style="24" bestFit="1" customWidth="1"/>
    <col min="1803" max="1803" width="15.7109375" style="24" bestFit="1" customWidth="1"/>
    <col min="1804" max="1804" width="13.7109375" style="24" bestFit="1" customWidth="1"/>
    <col min="1805" max="1805" width="15.28515625" style="24" bestFit="1" customWidth="1"/>
    <col min="1806" max="1806" width="13" style="24" bestFit="1" customWidth="1"/>
    <col min="1807" max="1807" width="13.7109375" style="24" bestFit="1" customWidth="1"/>
    <col min="1808" max="1808" width="16.7109375" style="24" bestFit="1" customWidth="1"/>
    <col min="1809" max="1809" width="14.140625" style="24" bestFit="1" customWidth="1"/>
    <col min="1810" max="1810" width="13" style="24" bestFit="1" customWidth="1"/>
    <col min="1811" max="1811" width="16.42578125" style="24" bestFit="1" customWidth="1"/>
    <col min="1812" max="1812" width="0" style="24" hidden="1" customWidth="1"/>
    <col min="1813" max="2048" width="11.42578125" style="24"/>
    <col min="2049" max="2049" width="26.28515625" style="24" customWidth="1"/>
    <col min="2050" max="2051" width="11.42578125" style="24"/>
    <col min="2052" max="2052" width="14" style="24" customWidth="1"/>
    <col min="2053" max="2053" width="15.28515625" style="24" customWidth="1"/>
    <col min="2054" max="2054" width="11.42578125" style="24" customWidth="1"/>
    <col min="2055" max="2055" width="15.7109375" style="24" bestFit="1" customWidth="1"/>
    <col min="2056" max="2056" width="11.42578125" style="24"/>
    <col min="2057" max="2057" width="13.42578125" style="24" bestFit="1" customWidth="1"/>
    <col min="2058" max="2058" width="12" style="24" bestFit="1" customWidth="1"/>
    <col min="2059" max="2059" width="15.7109375" style="24" bestFit="1" customWidth="1"/>
    <col min="2060" max="2060" width="13.7109375" style="24" bestFit="1" customWidth="1"/>
    <col min="2061" max="2061" width="15.28515625" style="24" bestFit="1" customWidth="1"/>
    <col min="2062" max="2062" width="13" style="24" bestFit="1" customWidth="1"/>
    <col min="2063" max="2063" width="13.7109375" style="24" bestFit="1" customWidth="1"/>
    <col min="2064" max="2064" width="16.7109375" style="24" bestFit="1" customWidth="1"/>
    <col min="2065" max="2065" width="14.140625" style="24" bestFit="1" customWidth="1"/>
    <col min="2066" max="2066" width="13" style="24" bestFit="1" customWidth="1"/>
    <col min="2067" max="2067" width="16.42578125" style="24" bestFit="1" customWidth="1"/>
    <col min="2068" max="2068" width="0" style="24" hidden="1" customWidth="1"/>
    <col min="2069" max="2304" width="11.42578125" style="24"/>
    <col min="2305" max="2305" width="26.28515625" style="24" customWidth="1"/>
    <col min="2306" max="2307" width="11.42578125" style="24"/>
    <col min="2308" max="2308" width="14" style="24" customWidth="1"/>
    <col min="2309" max="2309" width="15.28515625" style="24" customWidth="1"/>
    <col min="2310" max="2310" width="11.42578125" style="24" customWidth="1"/>
    <col min="2311" max="2311" width="15.7109375" style="24" bestFit="1" customWidth="1"/>
    <col min="2312" max="2312" width="11.42578125" style="24"/>
    <col min="2313" max="2313" width="13.42578125" style="24" bestFit="1" customWidth="1"/>
    <col min="2314" max="2314" width="12" style="24" bestFit="1" customWidth="1"/>
    <col min="2315" max="2315" width="15.7109375" style="24" bestFit="1" customWidth="1"/>
    <col min="2316" max="2316" width="13.7109375" style="24" bestFit="1" customWidth="1"/>
    <col min="2317" max="2317" width="15.28515625" style="24" bestFit="1" customWidth="1"/>
    <col min="2318" max="2318" width="13" style="24" bestFit="1" customWidth="1"/>
    <col min="2319" max="2319" width="13.7109375" style="24" bestFit="1" customWidth="1"/>
    <col min="2320" max="2320" width="16.7109375" style="24" bestFit="1" customWidth="1"/>
    <col min="2321" max="2321" width="14.140625" style="24" bestFit="1" customWidth="1"/>
    <col min="2322" max="2322" width="13" style="24" bestFit="1" customWidth="1"/>
    <col min="2323" max="2323" width="16.42578125" style="24" bestFit="1" customWidth="1"/>
    <col min="2324" max="2324" width="0" style="24" hidden="1" customWidth="1"/>
    <col min="2325" max="2560" width="11.42578125" style="24"/>
    <col min="2561" max="2561" width="26.28515625" style="24" customWidth="1"/>
    <col min="2562" max="2563" width="11.42578125" style="24"/>
    <col min="2564" max="2564" width="14" style="24" customWidth="1"/>
    <col min="2565" max="2565" width="15.28515625" style="24" customWidth="1"/>
    <col min="2566" max="2566" width="11.42578125" style="24" customWidth="1"/>
    <col min="2567" max="2567" width="15.7109375" style="24" bestFit="1" customWidth="1"/>
    <col min="2568" max="2568" width="11.42578125" style="24"/>
    <col min="2569" max="2569" width="13.42578125" style="24" bestFit="1" customWidth="1"/>
    <col min="2570" max="2570" width="12" style="24" bestFit="1" customWidth="1"/>
    <col min="2571" max="2571" width="15.7109375" style="24" bestFit="1" customWidth="1"/>
    <col min="2572" max="2572" width="13.7109375" style="24" bestFit="1" customWidth="1"/>
    <col min="2573" max="2573" width="15.28515625" style="24" bestFit="1" customWidth="1"/>
    <col min="2574" max="2574" width="13" style="24" bestFit="1" customWidth="1"/>
    <col min="2575" max="2575" width="13.7109375" style="24" bestFit="1" customWidth="1"/>
    <col min="2576" max="2576" width="16.7109375" style="24" bestFit="1" customWidth="1"/>
    <col min="2577" max="2577" width="14.140625" style="24" bestFit="1" customWidth="1"/>
    <col min="2578" max="2578" width="13" style="24" bestFit="1" customWidth="1"/>
    <col min="2579" max="2579" width="16.42578125" style="24" bestFit="1" customWidth="1"/>
    <col min="2580" max="2580" width="0" style="24" hidden="1" customWidth="1"/>
    <col min="2581" max="2816" width="11.42578125" style="24"/>
    <col min="2817" max="2817" width="26.28515625" style="24" customWidth="1"/>
    <col min="2818" max="2819" width="11.42578125" style="24"/>
    <col min="2820" max="2820" width="14" style="24" customWidth="1"/>
    <col min="2821" max="2821" width="15.28515625" style="24" customWidth="1"/>
    <col min="2822" max="2822" width="11.42578125" style="24" customWidth="1"/>
    <col min="2823" max="2823" width="15.7109375" style="24" bestFit="1" customWidth="1"/>
    <col min="2824" max="2824" width="11.42578125" style="24"/>
    <col min="2825" max="2825" width="13.42578125" style="24" bestFit="1" customWidth="1"/>
    <col min="2826" max="2826" width="12" style="24" bestFit="1" customWidth="1"/>
    <col min="2827" max="2827" width="15.7109375" style="24" bestFit="1" customWidth="1"/>
    <col min="2828" max="2828" width="13.7109375" style="24" bestFit="1" customWidth="1"/>
    <col min="2829" max="2829" width="15.28515625" style="24" bestFit="1" customWidth="1"/>
    <col min="2830" max="2830" width="13" style="24" bestFit="1" customWidth="1"/>
    <col min="2831" max="2831" width="13.7109375" style="24" bestFit="1" customWidth="1"/>
    <col min="2832" max="2832" width="16.7109375" style="24" bestFit="1" customWidth="1"/>
    <col min="2833" max="2833" width="14.140625" style="24" bestFit="1" customWidth="1"/>
    <col min="2834" max="2834" width="13" style="24" bestFit="1" customWidth="1"/>
    <col min="2835" max="2835" width="16.42578125" style="24" bestFit="1" customWidth="1"/>
    <col min="2836" max="2836" width="0" style="24" hidden="1" customWidth="1"/>
    <col min="2837" max="3072" width="11.42578125" style="24"/>
    <col min="3073" max="3073" width="26.28515625" style="24" customWidth="1"/>
    <col min="3074" max="3075" width="11.42578125" style="24"/>
    <col min="3076" max="3076" width="14" style="24" customWidth="1"/>
    <col min="3077" max="3077" width="15.28515625" style="24" customWidth="1"/>
    <col min="3078" max="3078" width="11.42578125" style="24" customWidth="1"/>
    <col min="3079" max="3079" width="15.7109375" style="24" bestFit="1" customWidth="1"/>
    <col min="3080" max="3080" width="11.42578125" style="24"/>
    <col min="3081" max="3081" width="13.42578125" style="24" bestFit="1" customWidth="1"/>
    <col min="3082" max="3082" width="12" style="24" bestFit="1" customWidth="1"/>
    <col min="3083" max="3083" width="15.7109375" style="24" bestFit="1" customWidth="1"/>
    <col min="3084" max="3084" width="13.7109375" style="24" bestFit="1" customWidth="1"/>
    <col min="3085" max="3085" width="15.28515625" style="24" bestFit="1" customWidth="1"/>
    <col min="3086" max="3086" width="13" style="24" bestFit="1" customWidth="1"/>
    <col min="3087" max="3087" width="13.7109375" style="24" bestFit="1" customWidth="1"/>
    <col min="3088" max="3088" width="16.7109375" style="24" bestFit="1" customWidth="1"/>
    <col min="3089" max="3089" width="14.140625" style="24" bestFit="1" customWidth="1"/>
    <col min="3090" max="3090" width="13" style="24" bestFit="1" customWidth="1"/>
    <col min="3091" max="3091" width="16.42578125" style="24" bestFit="1" customWidth="1"/>
    <col min="3092" max="3092" width="0" style="24" hidden="1" customWidth="1"/>
    <col min="3093" max="3328" width="11.42578125" style="24"/>
    <col min="3329" max="3329" width="26.28515625" style="24" customWidth="1"/>
    <col min="3330" max="3331" width="11.42578125" style="24"/>
    <col min="3332" max="3332" width="14" style="24" customWidth="1"/>
    <col min="3333" max="3333" width="15.28515625" style="24" customWidth="1"/>
    <col min="3334" max="3334" width="11.42578125" style="24" customWidth="1"/>
    <col min="3335" max="3335" width="15.7109375" style="24" bestFit="1" customWidth="1"/>
    <col min="3336" max="3336" width="11.42578125" style="24"/>
    <col min="3337" max="3337" width="13.42578125" style="24" bestFit="1" customWidth="1"/>
    <col min="3338" max="3338" width="12" style="24" bestFit="1" customWidth="1"/>
    <col min="3339" max="3339" width="15.7109375" style="24" bestFit="1" customWidth="1"/>
    <col min="3340" max="3340" width="13.7109375" style="24" bestFit="1" customWidth="1"/>
    <col min="3341" max="3341" width="15.28515625" style="24" bestFit="1" customWidth="1"/>
    <col min="3342" max="3342" width="13" style="24" bestFit="1" customWidth="1"/>
    <col min="3343" max="3343" width="13.7109375" style="24" bestFit="1" customWidth="1"/>
    <col min="3344" max="3344" width="16.7109375" style="24" bestFit="1" customWidth="1"/>
    <col min="3345" max="3345" width="14.140625" style="24" bestFit="1" customWidth="1"/>
    <col min="3346" max="3346" width="13" style="24" bestFit="1" customWidth="1"/>
    <col min="3347" max="3347" width="16.42578125" style="24" bestFit="1" customWidth="1"/>
    <col min="3348" max="3348" width="0" style="24" hidden="1" customWidth="1"/>
    <col min="3349" max="3584" width="11.42578125" style="24"/>
    <col min="3585" max="3585" width="26.28515625" style="24" customWidth="1"/>
    <col min="3586" max="3587" width="11.42578125" style="24"/>
    <col min="3588" max="3588" width="14" style="24" customWidth="1"/>
    <col min="3589" max="3589" width="15.28515625" style="24" customWidth="1"/>
    <col min="3590" max="3590" width="11.42578125" style="24" customWidth="1"/>
    <col min="3591" max="3591" width="15.7109375" style="24" bestFit="1" customWidth="1"/>
    <col min="3592" max="3592" width="11.42578125" style="24"/>
    <col min="3593" max="3593" width="13.42578125" style="24" bestFit="1" customWidth="1"/>
    <col min="3594" max="3594" width="12" style="24" bestFit="1" customWidth="1"/>
    <col min="3595" max="3595" width="15.7109375" style="24" bestFit="1" customWidth="1"/>
    <col min="3596" max="3596" width="13.7109375" style="24" bestFit="1" customWidth="1"/>
    <col min="3597" max="3597" width="15.28515625" style="24" bestFit="1" customWidth="1"/>
    <col min="3598" max="3598" width="13" style="24" bestFit="1" customWidth="1"/>
    <col min="3599" max="3599" width="13.7109375" style="24" bestFit="1" customWidth="1"/>
    <col min="3600" max="3600" width="16.7109375" style="24" bestFit="1" customWidth="1"/>
    <col min="3601" max="3601" width="14.140625" style="24" bestFit="1" customWidth="1"/>
    <col min="3602" max="3602" width="13" style="24" bestFit="1" customWidth="1"/>
    <col min="3603" max="3603" width="16.42578125" style="24" bestFit="1" customWidth="1"/>
    <col min="3604" max="3604" width="0" style="24" hidden="1" customWidth="1"/>
    <col min="3605" max="3840" width="11.42578125" style="24"/>
    <col min="3841" max="3841" width="26.28515625" style="24" customWidth="1"/>
    <col min="3842" max="3843" width="11.42578125" style="24"/>
    <col min="3844" max="3844" width="14" style="24" customWidth="1"/>
    <col min="3845" max="3845" width="15.28515625" style="24" customWidth="1"/>
    <col min="3846" max="3846" width="11.42578125" style="24" customWidth="1"/>
    <col min="3847" max="3847" width="15.7109375" style="24" bestFit="1" customWidth="1"/>
    <col min="3848" max="3848" width="11.42578125" style="24"/>
    <col min="3849" max="3849" width="13.42578125" style="24" bestFit="1" customWidth="1"/>
    <col min="3850" max="3850" width="12" style="24" bestFit="1" customWidth="1"/>
    <col min="3851" max="3851" width="15.7109375" style="24" bestFit="1" customWidth="1"/>
    <col min="3852" max="3852" width="13.7109375" style="24" bestFit="1" customWidth="1"/>
    <col min="3853" max="3853" width="15.28515625" style="24" bestFit="1" customWidth="1"/>
    <col min="3854" max="3854" width="13" style="24" bestFit="1" customWidth="1"/>
    <col min="3855" max="3855" width="13.7109375" style="24" bestFit="1" customWidth="1"/>
    <col min="3856" max="3856" width="16.7109375" style="24" bestFit="1" customWidth="1"/>
    <col min="3857" max="3857" width="14.140625" style="24" bestFit="1" customWidth="1"/>
    <col min="3858" max="3858" width="13" style="24" bestFit="1" customWidth="1"/>
    <col min="3859" max="3859" width="16.42578125" style="24" bestFit="1" customWidth="1"/>
    <col min="3860" max="3860" width="0" style="24" hidden="1" customWidth="1"/>
    <col min="3861" max="4096" width="11.42578125" style="24"/>
    <col min="4097" max="4097" width="26.28515625" style="24" customWidth="1"/>
    <col min="4098" max="4099" width="11.42578125" style="24"/>
    <col min="4100" max="4100" width="14" style="24" customWidth="1"/>
    <col min="4101" max="4101" width="15.28515625" style="24" customWidth="1"/>
    <col min="4102" max="4102" width="11.42578125" style="24" customWidth="1"/>
    <col min="4103" max="4103" width="15.7109375" style="24" bestFit="1" customWidth="1"/>
    <col min="4104" max="4104" width="11.42578125" style="24"/>
    <col min="4105" max="4105" width="13.42578125" style="24" bestFit="1" customWidth="1"/>
    <col min="4106" max="4106" width="12" style="24" bestFit="1" customWidth="1"/>
    <col min="4107" max="4107" width="15.7109375" style="24" bestFit="1" customWidth="1"/>
    <col min="4108" max="4108" width="13.7109375" style="24" bestFit="1" customWidth="1"/>
    <col min="4109" max="4109" width="15.28515625" style="24" bestFit="1" customWidth="1"/>
    <col min="4110" max="4110" width="13" style="24" bestFit="1" customWidth="1"/>
    <col min="4111" max="4111" width="13.7109375" style="24" bestFit="1" customWidth="1"/>
    <col min="4112" max="4112" width="16.7109375" style="24" bestFit="1" customWidth="1"/>
    <col min="4113" max="4113" width="14.140625" style="24" bestFit="1" customWidth="1"/>
    <col min="4114" max="4114" width="13" style="24" bestFit="1" customWidth="1"/>
    <col min="4115" max="4115" width="16.42578125" style="24" bestFit="1" customWidth="1"/>
    <col min="4116" max="4116" width="0" style="24" hidden="1" customWidth="1"/>
    <col min="4117" max="4352" width="11.42578125" style="24"/>
    <col min="4353" max="4353" width="26.28515625" style="24" customWidth="1"/>
    <col min="4354" max="4355" width="11.42578125" style="24"/>
    <col min="4356" max="4356" width="14" style="24" customWidth="1"/>
    <col min="4357" max="4357" width="15.28515625" style="24" customWidth="1"/>
    <col min="4358" max="4358" width="11.42578125" style="24" customWidth="1"/>
    <col min="4359" max="4359" width="15.7109375" style="24" bestFit="1" customWidth="1"/>
    <col min="4360" max="4360" width="11.42578125" style="24"/>
    <col min="4361" max="4361" width="13.42578125" style="24" bestFit="1" customWidth="1"/>
    <col min="4362" max="4362" width="12" style="24" bestFit="1" customWidth="1"/>
    <col min="4363" max="4363" width="15.7109375" style="24" bestFit="1" customWidth="1"/>
    <col min="4364" max="4364" width="13.7109375" style="24" bestFit="1" customWidth="1"/>
    <col min="4365" max="4365" width="15.28515625" style="24" bestFit="1" customWidth="1"/>
    <col min="4366" max="4366" width="13" style="24" bestFit="1" customWidth="1"/>
    <col min="4367" max="4367" width="13.7109375" style="24" bestFit="1" customWidth="1"/>
    <col min="4368" max="4368" width="16.7109375" style="24" bestFit="1" customWidth="1"/>
    <col min="4369" max="4369" width="14.140625" style="24" bestFit="1" customWidth="1"/>
    <col min="4370" max="4370" width="13" style="24" bestFit="1" customWidth="1"/>
    <col min="4371" max="4371" width="16.42578125" style="24" bestFit="1" customWidth="1"/>
    <col min="4372" max="4372" width="0" style="24" hidden="1" customWidth="1"/>
    <col min="4373" max="4608" width="11.42578125" style="24"/>
    <col min="4609" max="4609" width="26.28515625" style="24" customWidth="1"/>
    <col min="4610" max="4611" width="11.42578125" style="24"/>
    <col min="4612" max="4612" width="14" style="24" customWidth="1"/>
    <col min="4613" max="4613" width="15.28515625" style="24" customWidth="1"/>
    <col min="4614" max="4614" width="11.42578125" style="24" customWidth="1"/>
    <col min="4615" max="4615" width="15.7109375" style="24" bestFit="1" customWidth="1"/>
    <col min="4616" max="4616" width="11.42578125" style="24"/>
    <col min="4617" max="4617" width="13.42578125" style="24" bestFit="1" customWidth="1"/>
    <col min="4618" max="4618" width="12" style="24" bestFit="1" customWidth="1"/>
    <col min="4619" max="4619" width="15.7109375" style="24" bestFit="1" customWidth="1"/>
    <col min="4620" max="4620" width="13.7109375" style="24" bestFit="1" customWidth="1"/>
    <col min="4621" max="4621" width="15.28515625" style="24" bestFit="1" customWidth="1"/>
    <col min="4622" max="4622" width="13" style="24" bestFit="1" customWidth="1"/>
    <col min="4623" max="4623" width="13.7109375" style="24" bestFit="1" customWidth="1"/>
    <col min="4624" max="4624" width="16.7109375" style="24" bestFit="1" customWidth="1"/>
    <col min="4625" max="4625" width="14.140625" style="24" bestFit="1" customWidth="1"/>
    <col min="4626" max="4626" width="13" style="24" bestFit="1" customWidth="1"/>
    <col min="4627" max="4627" width="16.42578125" style="24" bestFit="1" customWidth="1"/>
    <col min="4628" max="4628" width="0" style="24" hidden="1" customWidth="1"/>
    <col min="4629" max="4864" width="11.42578125" style="24"/>
    <col min="4865" max="4865" width="26.28515625" style="24" customWidth="1"/>
    <col min="4866" max="4867" width="11.42578125" style="24"/>
    <col min="4868" max="4868" width="14" style="24" customWidth="1"/>
    <col min="4869" max="4869" width="15.28515625" style="24" customWidth="1"/>
    <col min="4870" max="4870" width="11.42578125" style="24" customWidth="1"/>
    <col min="4871" max="4871" width="15.7109375" style="24" bestFit="1" customWidth="1"/>
    <col min="4872" max="4872" width="11.42578125" style="24"/>
    <col min="4873" max="4873" width="13.42578125" style="24" bestFit="1" customWidth="1"/>
    <col min="4874" max="4874" width="12" style="24" bestFit="1" customWidth="1"/>
    <col min="4875" max="4875" width="15.7109375" style="24" bestFit="1" customWidth="1"/>
    <col min="4876" max="4876" width="13.7109375" style="24" bestFit="1" customWidth="1"/>
    <col min="4877" max="4877" width="15.28515625" style="24" bestFit="1" customWidth="1"/>
    <col min="4878" max="4878" width="13" style="24" bestFit="1" customWidth="1"/>
    <col min="4879" max="4879" width="13.7109375" style="24" bestFit="1" customWidth="1"/>
    <col min="4880" max="4880" width="16.7109375" style="24" bestFit="1" customWidth="1"/>
    <col min="4881" max="4881" width="14.140625" style="24" bestFit="1" customWidth="1"/>
    <col min="4882" max="4882" width="13" style="24" bestFit="1" customWidth="1"/>
    <col min="4883" max="4883" width="16.42578125" style="24" bestFit="1" customWidth="1"/>
    <col min="4884" max="4884" width="0" style="24" hidden="1" customWidth="1"/>
    <col min="4885" max="5120" width="11.42578125" style="24"/>
    <col min="5121" max="5121" width="26.28515625" style="24" customWidth="1"/>
    <col min="5122" max="5123" width="11.42578125" style="24"/>
    <col min="5124" max="5124" width="14" style="24" customWidth="1"/>
    <col min="5125" max="5125" width="15.28515625" style="24" customWidth="1"/>
    <col min="5126" max="5126" width="11.42578125" style="24" customWidth="1"/>
    <col min="5127" max="5127" width="15.7109375" style="24" bestFit="1" customWidth="1"/>
    <col min="5128" max="5128" width="11.42578125" style="24"/>
    <col min="5129" max="5129" width="13.42578125" style="24" bestFit="1" customWidth="1"/>
    <col min="5130" max="5130" width="12" style="24" bestFit="1" customWidth="1"/>
    <col min="5131" max="5131" width="15.7109375" style="24" bestFit="1" customWidth="1"/>
    <col min="5132" max="5132" width="13.7109375" style="24" bestFit="1" customWidth="1"/>
    <col min="5133" max="5133" width="15.28515625" style="24" bestFit="1" customWidth="1"/>
    <col min="5134" max="5134" width="13" style="24" bestFit="1" customWidth="1"/>
    <col min="5135" max="5135" width="13.7109375" style="24" bestFit="1" customWidth="1"/>
    <col min="5136" max="5136" width="16.7109375" style="24" bestFit="1" customWidth="1"/>
    <col min="5137" max="5137" width="14.140625" style="24" bestFit="1" customWidth="1"/>
    <col min="5138" max="5138" width="13" style="24" bestFit="1" customWidth="1"/>
    <col min="5139" max="5139" width="16.42578125" style="24" bestFit="1" customWidth="1"/>
    <col min="5140" max="5140" width="0" style="24" hidden="1" customWidth="1"/>
    <col min="5141" max="5376" width="11.42578125" style="24"/>
    <col min="5377" max="5377" width="26.28515625" style="24" customWidth="1"/>
    <col min="5378" max="5379" width="11.42578125" style="24"/>
    <col min="5380" max="5380" width="14" style="24" customWidth="1"/>
    <col min="5381" max="5381" width="15.28515625" style="24" customWidth="1"/>
    <col min="5382" max="5382" width="11.42578125" style="24" customWidth="1"/>
    <col min="5383" max="5383" width="15.7109375" style="24" bestFit="1" customWidth="1"/>
    <col min="5384" max="5384" width="11.42578125" style="24"/>
    <col min="5385" max="5385" width="13.42578125" style="24" bestFit="1" customWidth="1"/>
    <col min="5386" max="5386" width="12" style="24" bestFit="1" customWidth="1"/>
    <col min="5387" max="5387" width="15.7109375" style="24" bestFit="1" customWidth="1"/>
    <col min="5388" max="5388" width="13.7109375" style="24" bestFit="1" customWidth="1"/>
    <col min="5389" max="5389" width="15.28515625" style="24" bestFit="1" customWidth="1"/>
    <col min="5390" max="5390" width="13" style="24" bestFit="1" customWidth="1"/>
    <col min="5391" max="5391" width="13.7109375" style="24" bestFit="1" customWidth="1"/>
    <col min="5392" max="5392" width="16.7109375" style="24" bestFit="1" customWidth="1"/>
    <col min="5393" max="5393" width="14.140625" style="24" bestFit="1" customWidth="1"/>
    <col min="5394" max="5394" width="13" style="24" bestFit="1" customWidth="1"/>
    <col min="5395" max="5395" width="16.42578125" style="24" bestFit="1" customWidth="1"/>
    <col min="5396" max="5396" width="0" style="24" hidden="1" customWidth="1"/>
    <col min="5397" max="5632" width="11.42578125" style="24"/>
    <col min="5633" max="5633" width="26.28515625" style="24" customWidth="1"/>
    <col min="5634" max="5635" width="11.42578125" style="24"/>
    <col min="5636" max="5636" width="14" style="24" customWidth="1"/>
    <col min="5637" max="5637" width="15.28515625" style="24" customWidth="1"/>
    <col min="5638" max="5638" width="11.42578125" style="24" customWidth="1"/>
    <col min="5639" max="5639" width="15.7109375" style="24" bestFit="1" customWidth="1"/>
    <col min="5640" max="5640" width="11.42578125" style="24"/>
    <col min="5641" max="5641" width="13.42578125" style="24" bestFit="1" customWidth="1"/>
    <col min="5642" max="5642" width="12" style="24" bestFit="1" customWidth="1"/>
    <col min="5643" max="5643" width="15.7109375" style="24" bestFit="1" customWidth="1"/>
    <col min="5644" max="5644" width="13.7109375" style="24" bestFit="1" customWidth="1"/>
    <col min="5645" max="5645" width="15.28515625" style="24" bestFit="1" customWidth="1"/>
    <col min="5646" max="5646" width="13" style="24" bestFit="1" customWidth="1"/>
    <col min="5647" max="5647" width="13.7109375" style="24" bestFit="1" customWidth="1"/>
    <col min="5648" max="5648" width="16.7109375" style="24" bestFit="1" customWidth="1"/>
    <col min="5649" max="5649" width="14.140625" style="24" bestFit="1" customWidth="1"/>
    <col min="5650" max="5650" width="13" style="24" bestFit="1" customWidth="1"/>
    <col min="5651" max="5651" width="16.42578125" style="24" bestFit="1" customWidth="1"/>
    <col min="5652" max="5652" width="0" style="24" hidden="1" customWidth="1"/>
    <col min="5653" max="5888" width="11.42578125" style="24"/>
    <col min="5889" max="5889" width="26.28515625" style="24" customWidth="1"/>
    <col min="5890" max="5891" width="11.42578125" style="24"/>
    <col min="5892" max="5892" width="14" style="24" customWidth="1"/>
    <col min="5893" max="5893" width="15.28515625" style="24" customWidth="1"/>
    <col min="5894" max="5894" width="11.42578125" style="24" customWidth="1"/>
    <col min="5895" max="5895" width="15.7109375" style="24" bestFit="1" customWidth="1"/>
    <col min="5896" max="5896" width="11.42578125" style="24"/>
    <col min="5897" max="5897" width="13.42578125" style="24" bestFit="1" customWidth="1"/>
    <col min="5898" max="5898" width="12" style="24" bestFit="1" customWidth="1"/>
    <col min="5899" max="5899" width="15.7109375" style="24" bestFit="1" customWidth="1"/>
    <col min="5900" max="5900" width="13.7109375" style="24" bestFit="1" customWidth="1"/>
    <col min="5901" max="5901" width="15.28515625" style="24" bestFit="1" customWidth="1"/>
    <col min="5902" max="5902" width="13" style="24" bestFit="1" customWidth="1"/>
    <col min="5903" max="5903" width="13.7109375" style="24" bestFit="1" customWidth="1"/>
    <col min="5904" max="5904" width="16.7109375" style="24" bestFit="1" customWidth="1"/>
    <col min="5905" max="5905" width="14.140625" style="24" bestFit="1" customWidth="1"/>
    <col min="5906" max="5906" width="13" style="24" bestFit="1" customWidth="1"/>
    <col min="5907" max="5907" width="16.42578125" style="24" bestFit="1" customWidth="1"/>
    <col min="5908" max="5908" width="0" style="24" hidden="1" customWidth="1"/>
    <col min="5909" max="6144" width="11.42578125" style="24"/>
    <col min="6145" max="6145" width="26.28515625" style="24" customWidth="1"/>
    <col min="6146" max="6147" width="11.42578125" style="24"/>
    <col min="6148" max="6148" width="14" style="24" customWidth="1"/>
    <col min="6149" max="6149" width="15.28515625" style="24" customWidth="1"/>
    <col min="6150" max="6150" width="11.42578125" style="24" customWidth="1"/>
    <col min="6151" max="6151" width="15.7109375" style="24" bestFit="1" customWidth="1"/>
    <col min="6152" max="6152" width="11.42578125" style="24"/>
    <col min="6153" max="6153" width="13.42578125" style="24" bestFit="1" customWidth="1"/>
    <col min="6154" max="6154" width="12" style="24" bestFit="1" customWidth="1"/>
    <col min="6155" max="6155" width="15.7109375" style="24" bestFit="1" customWidth="1"/>
    <col min="6156" max="6156" width="13.7109375" style="24" bestFit="1" customWidth="1"/>
    <col min="6157" max="6157" width="15.28515625" style="24" bestFit="1" customWidth="1"/>
    <col min="6158" max="6158" width="13" style="24" bestFit="1" customWidth="1"/>
    <col min="6159" max="6159" width="13.7109375" style="24" bestFit="1" customWidth="1"/>
    <col min="6160" max="6160" width="16.7109375" style="24" bestFit="1" customWidth="1"/>
    <col min="6161" max="6161" width="14.140625" style="24" bestFit="1" customWidth="1"/>
    <col min="6162" max="6162" width="13" style="24" bestFit="1" customWidth="1"/>
    <col min="6163" max="6163" width="16.42578125" style="24" bestFit="1" customWidth="1"/>
    <col min="6164" max="6164" width="0" style="24" hidden="1" customWidth="1"/>
    <col min="6165" max="6400" width="11.42578125" style="24"/>
    <col min="6401" max="6401" width="26.28515625" style="24" customWidth="1"/>
    <col min="6402" max="6403" width="11.42578125" style="24"/>
    <col min="6404" max="6404" width="14" style="24" customWidth="1"/>
    <col min="6405" max="6405" width="15.28515625" style="24" customWidth="1"/>
    <col min="6406" max="6406" width="11.42578125" style="24" customWidth="1"/>
    <col min="6407" max="6407" width="15.7109375" style="24" bestFit="1" customWidth="1"/>
    <col min="6408" max="6408" width="11.42578125" style="24"/>
    <col min="6409" max="6409" width="13.42578125" style="24" bestFit="1" customWidth="1"/>
    <col min="6410" max="6410" width="12" style="24" bestFit="1" customWidth="1"/>
    <col min="6411" max="6411" width="15.7109375" style="24" bestFit="1" customWidth="1"/>
    <col min="6412" max="6412" width="13.7109375" style="24" bestFit="1" customWidth="1"/>
    <col min="6413" max="6413" width="15.28515625" style="24" bestFit="1" customWidth="1"/>
    <col min="6414" max="6414" width="13" style="24" bestFit="1" customWidth="1"/>
    <col min="6415" max="6415" width="13.7109375" style="24" bestFit="1" customWidth="1"/>
    <col min="6416" max="6416" width="16.7109375" style="24" bestFit="1" customWidth="1"/>
    <col min="6417" max="6417" width="14.140625" style="24" bestFit="1" customWidth="1"/>
    <col min="6418" max="6418" width="13" style="24" bestFit="1" customWidth="1"/>
    <col min="6419" max="6419" width="16.42578125" style="24" bestFit="1" customWidth="1"/>
    <col min="6420" max="6420" width="0" style="24" hidden="1" customWidth="1"/>
    <col min="6421" max="6656" width="11.42578125" style="24"/>
    <col min="6657" max="6657" width="26.28515625" style="24" customWidth="1"/>
    <col min="6658" max="6659" width="11.42578125" style="24"/>
    <col min="6660" max="6660" width="14" style="24" customWidth="1"/>
    <col min="6661" max="6661" width="15.28515625" style="24" customWidth="1"/>
    <col min="6662" max="6662" width="11.42578125" style="24" customWidth="1"/>
    <col min="6663" max="6663" width="15.7109375" style="24" bestFit="1" customWidth="1"/>
    <col min="6664" max="6664" width="11.42578125" style="24"/>
    <col min="6665" max="6665" width="13.42578125" style="24" bestFit="1" customWidth="1"/>
    <col min="6666" max="6666" width="12" style="24" bestFit="1" customWidth="1"/>
    <col min="6667" max="6667" width="15.7109375" style="24" bestFit="1" customWidth="1"/>
    <col min="6668" max="6668" width="13.7109375" style="24" bestFit="1" customWidth="1"/>
    <col min="6669" max="6669" width="15.28515625" style="24" bestFit="1" customWidth="1"/>
    <col min="6670" max="6670" width="13" style="24" bestFit="1" customWidth="1"/>
    <col min="6671" max="6671" width="13.7109375" style="24" bestFit="1" customWidth="1"/>
    <col min="6672" max="6672" width="16.7109375" style="24" bestFit="1" customWidth="1"/>
    <col min="6673" max="6673" width="14.140625" style="24" bestFit="1" customWidth="1"/>
    <col min="6674" max="6674" width="13" style="24" bestFit="1" customWidth="1"/>
    <col min="6675" max="6675" width="16.42578125" style="24" bestFit="1" customWidth="1"/>
    <col min="6676" max="6676" width="0" style="24" hidden="1" customWidth="1"/>
    <col min="6677" max="6912" width="11.42578125" style="24"/>
    <col min="6913" max="6913" width="26.28515625" style="24" customWidth="1"/>
    <col min="6914" max="6915" width="11.42578125" style="24"/>
    <col min="6916" max="6916" width="14" style="24" customWidth="1"/>
    <col min="6917" max="6917" width="15.28515625" style="24" customWidth="1"/>
    <col min="6918" max="6918" width="11.42578125" style="24" customWidth="1"/>
    <col min="6919" max="6919" width="15.7109375" style="24" bestFit="1" customWidth="1"/>
    <col min="6920" max="6920" width="11.42578125" style="24"/>
    <col min="6921" max="6921" width="13.42578125" style="24" bestFit="1" customWidth="1"/>
    <col min="6922" max="6922" width="12" style="24" bestFit="1" customWidth="1"/>
    <col min="6923" max="6923" width="15.7109375" style="24" bestFit="1" customWidth="1"/>
    <col min="6924" max="6924" width="13.7109375" style="24" bestFit="1" customWidth="1"/>
    <col min="6925" max="6925" width="15.28515625" style="24" bestFit="1" customWidth="1"/>
    <col min="6926" max="6926" width="13" style="24" bestFit="1" customWidth="1"/>
    <col min="6927" max="6927" width="13.7109375" style="24" bestFit="1" customWidth="1"/>
    <col min="6928" max="6928" width="16.7109375" style="24" bestFit="1" customWidth="1"/>
    <col min="6929" max="6929" width="14.140625" style="24" bestFit="1" customWidth="1"/>
    <col min="6930" max="6930" width="13" style="24" bestFit="1" customWidth="1"/>
    <col min="6931" max="6931" width="16.42578125" style="24" bestFit="1" customWidth="1"/>
    <col min="6932" max="6932" width="0" style="24" hidden="1" customWidth="1"/>
    <col min="6933" max="7168" width="11.42578125" style="24"/>
    <col min="7169" max="7169" width="26.28515625" style="24" customWidth="1"/>
    <col min="7170" max="7171" width="11.42578125" style="24"/>
    <col min="7172" max="7172" width="14" style="24" customWidth="1"/>
    <col min="7173" max="7173" width="15.28515625" style="24" customWidth="1"/>
    <col min="7174" max="7174" width="11.42578125" style="24" customWidth="1"/>
    <col min="7175" max="7175" width="15.7109375" style="24" bestFit="1" customWidth="1"/>
    <col min="7176" max="7176" width="11.42578125" style="24"/>
    <col min="7177" max="7177" width="13.42578125" style="24" bestFit="1" customWidth="1"/>
    <col min="7178" max="7178" width="12" style="24" bestFit="1" customWidth="1"/>
    <col min="7179" max="7179" width="15.7109375" style="24" bestFit="1" customWidth="1"/>
    <col min="7180" max="7180" width="13.7109375" style="24" bestFit="1" customWidth="1"/>
    <col min="7181" max="7181" width="15.28515625" style="24" bestFit="1" customWidth="1"/>
    <col min="7182" max="7182" width="13" style="24" bestFit="1" customWidth="1"/>
    <col min="7183" max="7183" width="13.7109375" style="24" bestFit="1" customWidth="1"/>
    <col min="7184" max="7184" width="16.7109375" style="24" bestFit="1" customWidth="1"/>
    <col min="7185" max="7185" width="14.140625" style="24" bestFit="1" customWidth="1"/>
    <col min="7186" max="7186" width="13" style="24" bestFit="1" customWidth="1"/>
    <col min="7187" max="7187" width="16.42578125" style="24" bestFit="1" customWidth="1"/>
    <col min="7188" max="7188" width="0" style="24" hidden="1" customWidth="1"/>
    <col min="7189" max="7424" width="11.42578125" style="24"/>
    <col min="7425" max="7425" width="26.28515625" style="24" customWidth="1"/>
    <col min="7426" max="7427" width="11.42578125" style="24"/>
    <col min="7428" max="7428" width="14" style="24" customWidth="1"/>
    <col min="7429" max="7429" width="15.28515625" style="24" customWidth="1"/>
    <col min="7430" max="7430" width="11.42578125" style="24" customWidth="1"/>
    <col min="7431" max="7431" width="15.7109375" style="24" bestFit="1" customWidth="1"/>
    <col min="7432" max="7432" width="11.42578125" style="24"/>
    <col min="7433" max="7433" width="13.42578125" style="24" bestFit="1" customWidth="1"/>
    <col min="7434" max="7434" width="12" style="24" bestFit="1" customWidth="1"/>
    <col min="7435" max="7435" width="15.7109375" style="24" bestFit="1" customWidth="1"/>
    <col min="7436" max="7436" width="13.7109375" style="24" bestFit="1" customWidth="1"/>
    <col min="7437" max="7437" width="15.28515625" style="24" bestFit="1" customWidth="1"/>
    <col min="7438" max="7438" width="13" style="24" bestFit="1" customWidth="1"/>
    <col min="7439" max="7439" width="13.7109375" style="24" bestFit="1" customWidth="1"/>
    <col min="7440" max="7440" width="16.7109375" style="24" bestFit="1" customWidth="1"/>
    <col min="7441" max="7441" width="14.140625" style="24" bestFit="1" customWidth="1"/>
    <col min="7442" max="7442" width="13" style="24" bestFit="1" customWidth="1"/>
    <col min="7443" max="7443" width="16.42578125" style="24" bestFit="1" customWidth="1"/>
    <col min="7444" max="7444" width="0" style="24" hidden="1" customWidth="1"/>
    <col min="7445" max="7680" width="11.42578125" style="24"/>
    <col min="7681" max="7681" width="26.28515625" style="24" customWidth="1"/>
    <col min="7682" max="7683" width="11.42578125" style="24"/>
    <col min="7684" max="7684" width="14" style="24" customWidth="1"/>
    <col min="7685" max="7685" width="15.28515625" style="24" customWidth="1"/>
    <col min="7686" max="7686" width="11.42578125" style="24" customWidth="1"/>
    <col min="7687" max="7687" width="15.7109375" style="24" bestFit="1" customWidth="1"/>
    <col min="7688" max="7688" width="11.42578125" style="24"/>
    <col min="7689" max="7689" width="13.42578125" style="24" bestFit="1" customWidth="1"/>
    <col min="7690" max="7690" width="12" style="24" bestFit="1" customWidth="1"/>
    <col min="7691" max="7691" width="15.7109375" style="24" bestFit="1" customWidth="1"/>
    <col min="7692" max="7692" width="13.7109375" style="24" bestFit="1" customWidth="1"/>
    <col min="7693" max="7693" width="15.28515625" style="24" bestFit="1" customWidth="1"/>
    <col min="7694" max="7694" width="13" style="24" bestFit="1" customWidth="1"/>
    <col min="7695" max="7695" width="13.7109375" style="24" bestFit="1" customWidth="1"/>
    <col min="7696" max="7696" width="16.7109375" style="24" bestFit="1" customWidth="1"/>
    <col min="7697" max="7697" width="14.140625" style="24" bestFit="1" customWidth="1"/>
    <col min="7698" max="7698" width="13" style="24" bestFit="1" customWidth="1"/>
    <col min="7699" max="7699" width="16.42578125" style="24" bestFit="1" customWidth="1"/>
    <col min="7700" max="7700" width="0" style="24" hidden="1" customWidth="1"/>
    <col min="7701" max="7936" width="11.42578125" style="24"/>
    <col min="7937" max="7937" width="26.28515625" style="24" customWidth="1"/>
    <col min="7938" max="7939" width="11.42578125" style="24"/>
    <col min="7940" max="7940" width="14" style="24" customWidth="1"/>
    <col min="7941" max="7941" width="15.28515625" style="24" customWidth="1"/>
    <col min="7942" max="7942" width="11.42578125" style="24" customWidth="1"/>
    <col min="7943" max="7943" width="15.7109375" style="24" bestFit="1" customWidth="1"/>
    <col min="7944" max="7944" width="11.42578125" style="24"/>
    <col min="7945" max="7945" width="13.42578125" style="24" bestFit="1" customWidth="1"/>
    <col min="7946" max="7946" width="12" style="24" bestFit="1" customWidth="1"/>
    <col min="7947" max="7947" width="15.7109375" style="24" bestFit="1" customWidth="1"/>
    <col min="7948" max="7948" width="13.7109375" style="24" bestFit="1" customWidth="1"/>
    <col min="7949" max="7949" width="15.28515625" style="24" bestFit="1" customWidth="1"/>
    <col min="7950" max="7950" width="13" style="24" bestFit="1" customWidth="1"/>
    <col min="7951" max="7951" width="13.7109375" style="24" bestFit="1" customWidth="1"/>
    <col min="7952" max="7952" width="16.7109375" style="24" bestFit="1" customWidth="1"/>
    <col min="7953" max="7953" width="14.140625" style="24" bestFit="1" customWidth="1"/>
    <col min="7954" max="7954" width="13" style="24" bestFit="1" customWidth="1"/>
    <col min="7955" max="7955" width="16.42578125" style="24" bestFit="1" customWidth="1"/>
    <col min="7956" max="7956" width="0" style="24" hidden="1" customWidth="1"/>
    <col min="7957" max="8192" width="11.42578125" style="24"/>
    <col min="8193" max="8193" width="26.28515625" style="24" customWidth="1"/>
    <col min="8194" max="8195" width="11.42578125" style="24"/>
    <col min="8196" max="8196" width="14" style="24" customWidth="1"/>
    <col min="8197" max="8197" width="15.28515625" style="24" customWidth="1"/>
    <col min="8198" max="8198" width="11.42578125" style="24" customWidth="1"/>
    <col min="8199" max="8199" width="15.7109375" style="24" bestFit="1" customWidth="1"/>
    <col min="8200" max="8200" width="11.42578125" style="24"/>
    <col min="8201" max="8201" width="13.42578125" style="24" bestFit="1" customWidth="1"/>
    <col min="8202" max="8202" width="12" style="24" bestFit="1" customWidth="1"/>
    <col min="8203" max="8203" width="15.7109375" style="24" bestFit="1" customWidth="1"/>
    <col min="8204" max="8204" width="13.7109375" style="24" bestFit="1" customWidth="1"/>
    <col min="8205" max="8205" width="15.28515625" style="24" bestFit="1" customWidth="1"/>
    <col min="8206" max="8206" width="13" style="24" bestFit="1" customWidth="1"/>
    <col min="8207" max="8207" width="13.7109375" style="24" bestFit="1" customWidth="1"/>
    <col min="8208" max="8208" width="16.7109375" style="24" bestFit="1" customWidth="1"/>
    <col min="8209" max="8209" width="14.140625" style="24" bestFit="1" customWidth="1"/>
    <col min="8210" max="8210" width="13" style="24" bestFit="1" customWidth="1"/>
    <col min="8211" max="8211" width="16.42578125" style="24" bestFit="1" customWidth="1"/>
    <col min="8212" max="8212" width="0" style="24" hidden="1" customWidth="1"/>
    <col min="8213" max="8448" width="11.42578125" style="24"/>
    <col min="8449" max="8449" width="26.28515625" style="24" customWidth="1"/>
    <col min="8450" max="8451" width="11.42578125" style="24"/>
    <col min="8452" max="8452" width="14" style="24" customWidth="1"/>
    <col min="8453" max="8453" width="15.28515625" style="24" customWidth="1"/>
    <col min="8454" max="8454" width="11.42578125" style="24" customWidth="1"/>
    <col min="8455" max="8455" width="15.7109375" style="24" bestFit="1" customWidth="1"/>
    <col min="8456" max="8456" width="11.42578125" style="24"/>
    <col min="8457" max="8457" width="13.42578125" style="24" bestFit="1" customWidth="1"/>
    <col min="8458" max="8458" width="12" style="24" bestFit="1" customWidth="1"/>
    <col min="8459" max="8459" width="15.7109375" style="24" bestFit="1" customWidth="1"/>
    <col min="8460" max="8460" width="13.7109375" style="24" bestFit="1" customWidth="1"/>
    <col min="8461" max="8461" width="15.28515625" style="24" bestFit="1" customWidth="1"/>
    <col min="8462" max="8462" width="13" style="24" bestFit="1" customWidth="1"/>
    <col min="8463" max="8463" width="13.7109375" style="24" bestFit="1" customWidth="1"/>
    <col min="8464" max="8464" width="16.7109375" style="24" bestFit="1" customWidth="1"/>
    <col min="8465" max="8465" width="14.140625" style="24" bestFit="1" customWidth="1"/>
    <col min="8466" max="8466" width="13" style="24" bestFit="1" customWidth="1"/>
    <col min="8467" max="8467" width="16.42578125" style="24" bestFit="1" customWidth="1"/>
    <col min="8468" max="8468" width="0" style="24" hidden="1" customWidth="1"/>
    <col min="8469" max="8704" width="11.42578125" style="24"/>
    <col min="8705" max="8705" width="26.28515625" style="24" customWidth="1"/>
    <col min="8706" max="8707" width="11.42578125" style="24"/>
    <col min="8708" max="8708" width="14" style="24" customWidth="1"/>
    <col min="8709" max="8709" width="15.28515625" style="24" customWidth="1"/>
    <col min="8710" max="8710" width="11.42578125" style="24" customWidth="1"/>
    <col min="8711" max="8711" width="15.7109375" style="24" bestFit="1" customWidth="1"/>
    <col min="8712" max="8712" width="11.42578125" style="24"/>
    <col min="8713" max="8713" width="13.42578125" style="24" bestFit="1" customWidth="1"/>
    <col min="8714" max="8714" width="12" style="24" bestFit="1" customWidth="1"/>
    <col min="8715" max="8715" width="15.7109375" style="24" bestFit="1" customWidth="1"/>
    <col min="8716" max="8716" width="13.7109375" style="24" bestFit="1" customWidth="1"/>
    <col min="8717" max="8717" width="15.28515625" style="24" bestFit="1" customWidth="1"/>
    <col min="8718" max="8718" width="13" style="24" bestFit="1" customWidth="1"/>
    <col min="8719" max="8719" width="13.7109375" style="24" bestFit="1" customWidth="1"/>
    <col min="8720" max="8720" width="16.7109375" style="24" bestFit="1" customWidth="1"/>
    <col min="8721" max="8721" width="14.140625" style="24" bestFit="1" customWidth="1"/>
    <col min="8722" max="8722" width="13" style="24" bestFit="1" customWidth="1"/>
    <col min="8723" max="8723" width="16.42578125" style="24" bestFit="1" customWidth="1"/>
    <col min="8724" max="8724" width="0" style="24" hidden="1" customWidth="1"/>
    <col min="8725" max="8960" width="11.42578125" style="24"/>
    <col min="8961" max="8961" width="26.28515625" style="24" customWidth="1"/>
    <col min="8962" max="8963" width="11.42578125" style="24"/>
    <col min="8964" max="8964" width="14" style="24" customWidth="1"/>
    <col min="8965" max="8965" width="15.28515625" style="24" customWidth="1"/>
    <col min="8966" max="8966" width="11.42578125" style="24" customWidth="1"/>
    <col min="8967" max="8967" width="15.7109375" style="24" bestFit="1" customWidth="1"/>
    <col min="8968" max="8968" width="11.42578125" style="24"/>
    <col min="8969" max="8969" width="13.42578125" style="24" bestFit="1" customWidth="1"/>
    <col min="8970" max="8970" width="12" style="24" bestFit="1" customWidth="1"/>
    <col min="8971" max="8971" width="15.7109375" style="24" bestFit="1" customWidth="1"/>
    <col min="8972" max="8972" width="13.7109375" style="24" bestFit="1" customWidth="1"/>
    <col min="8973" max="8973" width="15.28515625" style="24" bestFit="1" customWidth="1"/>
    <col min="8974" max="8974" width="13" style="24" bestFit="1" customWidth="1"/>
    <col min="8975" max="8975" width="13.7109375" style="24" bestFit="1" customWidth="1"/>
    <col min="8976" max="8976" width="16.7109375" style="24" bestFit="1" customWidth="1"/>
    <col min="8977" max="8977" width="14.140625" style="24" bestFit="1" customWidth="1"/>
    <col min="8978" max="8978" width="13" style="24" bestFit="1" customWidth="1"/>
    <col min="8979" max="8979" width="16.42578125" style="24" bestFit="1" customWidth="1"/>
    <col min="8980" max="8980" width="0" style="24" hidden="1" customWidth="1"/>
    <col min="8981" max="9216" width="11.42578125" style="24"/>
    <col min="9217" max="9217" width="26.28515625" style="24" customWidth="1"/>
    <col min="9218" max="9219" width="11.42578125" style="24"/>
    <col min="9220" max="9220" width="14" style="24" customWidth="1"/>
    <col min="9221" max="9221" width="15.28515625" style="24" customWidth="1"/>
    <col min="9222" max="9222" width="11.42578125" style="24" customWidth="1"/>
    <col min="9223" max="9223" width="15.7109375" style="24" bestFit="1" customWidth="1"/>
    <col min="9224" max="9224" width="11.42578125" style="24"/>
    <col min="9225" max="9225" width="13.42578125" style="24" bestFit="1" customWidth="1"/>
    <col min="9226" max="9226" width="12" style="24" bestFit="1" customWidth="1"/>
    <col min="9227" max="9227" width="15.7109375" style="24" bestFit="1" customWidth="1"/>
    <col min="9228" max="9228" width="13.7109375" style="24" bestFit="1" customWidth="1"/>
    <col min="9229" max="9229" width="15.28515625" style="24" bestFit="1" customWidth="1"/>
    <col min="9230" max="9230" width="13" style="24" bestFit="1" customWidth="1"/>
    <col min="9231" max="9231" width="13.7109375" style="24" bestFit="1" customWidth="1"/>
    <col min="9232" max="9232" width="16.7109375" style="24" bestFit="1" customWidth="1"/>
    <col min="9233" max="9233" width="14.140625" style="24" bestFit="1" customWidth="1"/>
    <col min="9234" max="9234" width="13" style="24" bestFit="1" customWidth="1"/>
    <col min="9235" max="9235" width="16.42578125" style="24" bestFit="1" customWidth="1"/>
    <col min="9236" max="9236" width="0" style="24" hidden="1" customWidth="1"/>
    <col min="9237" max="9472" width="11.42578125" style="24"/>
    <col min="9473" max="9473" width="26.28515625" style="24" customWidth="1"/>
    <col min="9474" max="9475" width="11.42578125" style="24"/>
    <col min="9476" max="9476" width="14" style="24" customWidth="1"/>
    <col min="9477" max="9477" width="15.28515625" style="24" customWidth="1"/>
    <col min="9478" max="9478" width="11.42578125" style="24" customWidth="1"/>
    <col min="9479" max="9479" width="15.7109375" style="24" bestFit="1" customWidth="1"/>
    <col min="9480" max="9480" width="11.42578125" style="24"/>
    <col min="9481" max="9481" width="13.42578125" style="24" bestFit="1" customWidth="1"/>
    <col min="9482" max="9482" width="12" style="24" bestFit="1" customWidth="1"/>
    <col min="9483" max="9483" width="15.7109375" style="24" bestFit="1" customWidth="1"/>
    <col min="9484" max="9484" width="13.7109375" style="24" bestFit="1" customWidth="1"/>
    <col min="9485" max="9485" width="15.28515625" style="24" bestFit="1" customWidth="1"/>
    <col min="9486" max="9486" width="13" style="24" bestFit="1" customWidth="1"/>
    <col min="9487" max="9487" width="13.7109375" style="24" bestFit="1" customWidth="1"/>
    <col min="9488" max="9488" width="16.7109375" style="24" bestFit="1" customWidth="1"/>
    <col min="9489" max="9489" width="14.140625" style="24" bestFit="1" customWidth="1"/>
    <col min="9490" max="9490" width="13" style="24" bestFit="1" customWidth="1"/>
    <col min="9491" max="9491" width="16.42578125" style="24" bestFit="1" customWidth="1"/>
    <col min="9492" max="9492" width="0" style="24" hidden="1" customWidth="1"/>
    <col min="9493" max="9728" width="11.42578125" style="24"/>
    <col min="9729" max="9729" width="26.28515625" style="24" customWidth="1"/>
    <col min="9730" max="9731" width="11.42578125" style="24"/>
    <col min="9732" max="9732" width="14" style="24" customWidth="1"/>
    <col min="9733" max="9733" width="15.28515625" style="24" customWidth="1"/>
    <col min="9734" max="9734" width="11.42578125" style="24" customWidth="1"/>
    <col min="9735" max="9735" width="15.7109375" style="24" bestFit="1" customWidth="1"/>
    <col min="9736" max="9736" width="11.42578125" style="24"/>
    <col min="9737" max="9737" width="13.42578125" style="24" bestFit="1" customWidth="1"/>
    <col min="9738" max="9738" width="12" style="24" bestFit="1" customWidth="1"/>
    <col min="9739" max="9739" width="15.7109375" style="24" bestFit="1" customWidth="1"/>
    <col min="9740" max="9740" width="13.7109375" style="24" bestFit="1" customWidth="1"/>
    <col min="9741" max="9741" width="15.28515625" style="24" bestFit="1" customWidth="1"/>
    <col min="9742" max="9742" width="13" style="24" bestFit="1" customWidth="1"/>
    <col min="9743" max="9743" width="13.7109375" style="24" bestFit="1" customWidth="1"/>
    <col min="9744" max="9744" width="16.7109375" style="24" bestFit="1" customWidth="1"/>
    <col min="9745" max="9745" width="14.140625" style="24" bestFit="1" customWidth="1"/>
    <col min="9746" max="9746" width="13" style="24" bestFit="1" customWidth="1"/>
    <col min="9747" max="9747" width="16.42578125" style="24" bestFit="1" customWidth="1"/>
    <col min="9748" max="9748" width="0" style="24" hidden="1" customWidth="1"/>
    <col min="9749" max="9984" width="11.42578125" style="24"/>
    <col min="9985" max="9985" width="26.28515625" style="24" customWidth="1"/>
    <col min="9986" max="9987" width="11.42578125" style="24"/>
    <col min="9988" max="9988" width="14" style="24" customWidth="1"/>
    <col min="9989" max="9989" width="15.28515625" style="24" customWidth="1"/>
    <col min="9990" max="9990" width="11.42578125" style="24" customWidth="1"/>
    <col min="9991" max="9991" width="15.7109375" style="24" bestFit="1" customWidth="1"/>
    <col min="9992" max="9992" width="11.42578125" style="24"/>
    <col min="9993" max="9993" width="13.42578125" style="24" bestFit="1" customWidth="1"/>
    <col min="9994" max="9994" width="12" style="24" bestFit="1" customWidth="1"/>
    <col min="9995" max="9995" width="15.7109375" style="24" bestFit="1" customWidth="1"/>
    <col min="9996" max="9996" width="13.7109375" style="24" bestFit="1" customWidth="1"/>
    <col min="9997" max="9997" width="15.28515625" style="24" bestFit="1" customWidth="1"/>
    <col min="9998" max="9998" width="13" style="24" bestFit="1" customWidth="1"/>
    <col min="9999" max="9999" width="13.7109375" style="24" bestFit="1" customWidth="1"/>
    <col min="10000" max="10000" width="16.7109375" style="24" bestFit="1" customWidth="1"/>
    <col min="10001" max="10001" width="14.140625" style="24" bestFit="1" customWidth="1"/>
    <col min="10002" max="10002" width="13" style="24" bestFit="1" customWidth="1"/>
    <col min="10003" max="10003" width="16.42578125" style="24" bestFit="1" customWidth="1"/>
    <col min="10004" max="10004" width="0" style="24" hidden="1" customWidth="1"/>
    <col min="10005" max="10240" width="11.42578125" style="24"/>
    <col min="10241" max="10241" width="26.28515625" style="24" customWidth="1"/>
    <col min="10242" max="10243" width="11.42578125" style="24"/>
    <col min="10244" max="10244" width="14" style="24" customWidth="1"/>
    <col min="10245" max="10245" width="15.28515625" style="24" customWidth="1"/>
    <col min="10246" max="10246" width="11.42578125" style="24" customWidth="1"/>
    <col min="10247" max="10247" width="15.7109375" style="24" bestFit="1" customWidth="1"/>
    <col min="10248" max="10248" width="11.42578125" style="24"/>
    <col min="10249" max="10249" width="13.42578125" style="24" bestFit="1" customWidth="1"/>
    <col min="10250" max="10250" width="12" style="24" bestFit="1" customWidth="1"/>
    <col min="10251" max="10251" width="15.7109375" style="24" bestFit="1" customWidth="1"/>
    <col min="10252" max="10252" width="13.7109375" style="24" bestFit="1" customWidth="1"/>
    <col min="10253" max="10253" width="15.28515625" style="24" bestFit="1" customWidth="1"/>
    <col min="10254" max="10254" width="13" style="24" bestFit="1" customWidth="1"/>
    <col min="10255" max="10255" width="13.7109375" style="24" bestFit="1" customWidth="1"/>
    <col min="10256" max="10256" width="16.7109375" style="24" bestFit="1" customWidth="1"/>
    <col min="10257" max="10257" width="14.140625" style="24" bestFit="1" customWidth="1"/>
    <col min="10258" max="10258" width="13" style="24" bestFit="1" customWidth="1"/>
    <col min="10259" max="10259" width="16.42578125" style="24" bestFit="1" customWidth="1"/>
    <col min="10260" max="10260" width="0" style="24" hidden="1" customWidth="1"/>
    <col min="10261" max="10496" width="11.42578125" style="24"/>
    <col min="10497" max="10497" width="26.28515625" style="24" customWidth="1"/>
    <col min="10498" max="10499" width="11.42578125" style="24"/>
    <col min="10500" max="10500" width="14" style="24" customWidth="1"/>
    <col min="10501" max="10501" width="15.28515625" style="24" customWidth="1"/>
    <col min="10502" max="10502" width="11.42578125" style="24" customWidth="1"/>
    <col min="10503" max="10503" width="15.7109375" style="24" bestFit="1" customWidth="1"/>
    <col min="10504" max="10504" width="11.42578125" style="24"/>
    <col min="10505" max="10505" width="13.42578125" style="24" bestFit="1" customWidth="1"/>
    <col min="10506" max="10506" width="12" style="24" bestFit="1" customWidth="1"/>
    <col min="10507" max="10507" width="15.7109375" style="24" bestFit="1" customWidth="1"/>
    <col min="10508" max="10508" width="13.7109375" style="24" bestFit="1" customWidth="1"/>
    <col min="10509" max="10509" width="15.28515625" style="24" bestFit="1" customWidth="1"/>
    <col min="10510" max="10510" width="13" style="24" bestFit="1" customWidth="1"/>
    <col min="10511" max="10511" width="13.7109375" style="24" bestFit="1" customWidth="1"/>
    <col min="10512" max="10512" width="16.7109375" style="24" bestFit="1" customWidth="1"/>
    <col min="10513" max="10513" width="14.140625" style="24" bestFit="1" customWidth="1"/>
    <col min="10514" max="10514" width="13" style="24" bestFit="1" customWidth="1"/>
    <col min="10515" max="10515" width="16.42578125" style="24" bestFit="1" customWidth="1"/>
    <col min="10516" max="10516" width="0" style="24" hidden="1" customWidth="1"/>
    <col min="10517" max="10752" width="11.42578125" style="24"/>
    <col min="10753" max="10753" width="26.28515625" style="24" customWidth="1"/>
    <col min="10754" max="10755" width="11.42578125" style="24"/>
    <col min="10756" max="10756" width="14" style="24" customWidth="1"/>
    <col min="10757" max="10757" width="15.28515625" style="24" customWidth="1"/>
    <col min="10758" max="10758" width="11.42578125" style="24" customWidth="1"/>
    <col min="10759" max="10759" width="15.7109375" style="24" bestFit="1" customWidth="1"/>
    <col min="10760" max="10760" width="11.42578125" style="24"/>
    <col min="10761" max="10761" width="13.42578125" style="24" bestFit="1" customWidth="1"/>
    <col min="10762" max="10762" width="12" style="24" bestFit="1" customWidth="1"/>
    <col min="10763" max="10763" width="15.7109375" style="24" bestFit="1" customWidth="1"/>
    <col min="10764" max="10764" width="13.7109375" style="24" bestFit="1" customWidth="1"/>
    <col min="10765" max="10765" width="15.28515625" style="24" bestFit="1" customWidth="1"/>
    <col min="10766" max="10766" width="13" style="24" bestFit="1" customWidth="1"/>
    <col min="10767" max="10767" width="13.7109375" style="24" bestFit="1" customWidth="1"/>
    <col min="10768" max="10768" width="16.7109375" style="24" bestFit="1" customWidth="1"/>
    <col min="10769" max="10769" width="14.140625" style="24" bestFit="1" customWidth="1"/>
    <col min="10770" max="10770" width="13" style="24" bestFit="1" customWidth="1"/>
    <col min="10771" max="10771" width="16.42578125" style="24" bestFit="1" customWidth="1"/>
    <col min="10772" max="10772" width="0" style="24" hidden="1" customWidth="1"/>
    <col min="10773" max="11008" width="11.42578125" style="24"/>
    <col min="11009" max="11009" width="26.28515625" style="24" customWidth="1"/>
    <col min="11010" max="11011" width="11.42578125" style="24"/>
    <col min="11012" max="11012" width="14" style="24" customWidth="1"/>
    <col min="11013" max="11013" width="15.28515625" style="24" customWidth="1"/>
    <col min="11014" max="11014" width="11.42578125" style="24" customWidth="1"/>
    <col min="11015" max="11015" width="15.7109375" style="24" bestFit="1" customWidth="1"/>
    <col min="11016" max="11016" width="11.42578125" style="24"/>
    <col min="11017" max="11017" width="13.42578125" style="24" bestFit="1" customWidth="1"/>
    <col min="11018" max="11018" width="12" style="24" bestFit="1" customWidth="1"/>
    <col min="11019" max="11019" width="15.7109375" style="24" bestFit="1" customWidth="1"/>
    <col min="11020" max="11020" width="13.7109375" style="24" bestFit="1" customWidth="1"/>
    <col min="11021" max="11021" width="15.28515625" style="24" bestFit="1" customWidth="1"/>
    <col min="11022" max="11022" width="13" style="24" bestFit="1" customWidth="1"/>
    <col min="11023" max="11023" width="13.7109375" style="24" bestFit="1" customWidth="1"/>
    <col min="11024" max="11024" width="16.7109375" style="24" bestFit="1" customWidth="1"/>
    <col min="11025" max="11025" width="14.140625" style="24" bestFit="1" customWidth="1"/>
    <col min="11026" max="11026" width="13" style="24" bestFit="1" customWidth="1"/>
    <col min="11027" max="11027" width="16.42578125" style="24" bestFit="1" customWidth="1"/>
    <col min="11028" max="11028" width="0" style="24" hidden="1" customWidth="1"/>
    <col min="11029" max="11264" width="11.42578125" style="24"/>
    <col min="11265" max="11265" width="26.28515625" style="24" customWidth="1"/>
    <col min="11266" max="11267" width="11.42578125" style="24"/>
    <col min="11268" max="11268" width="14" style="24" customWidth="1"/>
    <col min="11269" max="11269" width="15.28515625" style="24" customWidth="1"/>
    <col min="11270" max="11270" width="11.42578125" style="24" customWidth="1"/>
    <col min="11271" max="11271" width="15.7109375" style="24" bestFit="1" customWidth="1"/>
    <col min="11272" max="11272" width="11.42578125" style="24"/>
    <col min="11273" max="11273" width="13.42578125" style="24" bestFit="1" customWidth="1"/>
    <col min="11274" max="11274" width="12" style="24" bestFit="1" customWidth="1"/>
    <col min="11275" max="11275" width="15.7109375" style="24" bestFit="1" customWidth="1"/>
    <col min="11276" max="11276" width="13.7109375" style="24" bestFit="1" customWidth="1"/>
    <col min="11277" max="11277" width="15.28515625" style="24" bestFit="1" customWidth="1"/>
    <col min="11278" max="11278" width="13" style="24" bestFit="1" customWidth="1"/>
    <col min="11279" max="11279" width="13.7109375" style="24" bestFit="1" customWidth="1"/>
    <col min="11280" max="11280" width="16.7109375" style="24" bestFit="1" customWidth="1"/>
    <col min="11281" max="11281" width="14.140625" style="24" bestFit="1" customWidth="1"/>
    <col min="11282" max="11282" width="13" style="24" bestFit="1" customWidth="1"/>
    <col min="11283" max="11283" width="16.42578125" style="24" bestFit="1" customWidth="1"/>
    <col min="11284" max="11284" width="0" style="24" hidden="1" customWidth="1"/>
    <col min="11285" max="11520" width="11.42578125" style="24"/>
    <col min="11521" max="11521" width="26.28515625" style="24" customWidth="1"/>
    <col min="11522" max="11523" width="11.42578125" style="24"/>
    <col min="11524" max="11524" width="14" style="24" customWidth="1"/>
    <col min="11525" max="11525" width="15.28515625" style="24" customWidth="1"/>
    <col min="11526" max="11526" width="11.42578125" style="24" customWidth="1"/>
    <col min="11527" max="11527" width="15.7109375" style="24" bestFit="1" customWidth="1"/>
    <col min="11528" max="11528" width="11.42578125" style="24"/>
    <col min="11529" max="11529" width="13.42578125" style="24" bestFit="1" customWidth="1"/>
    <col min="11530" max="11530" width="12" style="24" bestFit="1" customWidth="1"/>
    <col min="11531" max="11531" width="15.7109375" style="24" bestFit="1" customWidth="1"/>
    <col min="11532" max="11532" width="13.7109375" style="24" bestFit="1" customWidth="1"/>
    <col min="11533" max="11533" width="15.28515625" style="24" bestFit="1" customWidth="1"/>
    <col min="11534" max="11534" width="13" style="24" bestFit="1" customWidth="1"/>
    <col min="11535" max="11535" width="13.7109375" style="24" bestFit="1" customWidth="1"/>
    <col min="11536" max="11536" width="16.7109375" style="24" bestFit="1" customWidth="1"/>
    <col min="11537" max="11537" width="14.140625" style="24" bestFit="1" customWidth="1"/>
    <col min="11538" max="11538" width="13" style="24" bestFit="1" customWidth="1"/>
    <col min="11539" max="11539" width="16.42578125" style="24" bestFit="1" customWidth="1"/>
    <col min="11540" max="11540" width="0" style="24" hidden="1" customWidth="1"/>
    <col min="11541" max="11776" width="11.42578125" style="24"/>
    <col min="11777" max="11777" width="26.28515625" style="24" customWidth="1"/>
    <col min="11778" max="11779" width="11.42578125" style="24"/>
    <col min="11780" max="11780" width="14" style="24" customWidth="1"/>
    <col min="11781" max="11781" width="15.28515625" style="24" customWidth="1"/>
    <col min="11782" max="11782" width="11.42578125" style="24" customWidth="1"/>
    <col min="11783" max="11783" width="15.7109375" style="24" bestFit="1" customWidth="1"/>
    <col min="11784" max="11784" width="11.42578125" style="24"/>
    <col min="11785" max="11785" width="13.42578125" style="24" bestFit="1" customWidth="1"/>
    <col min="11786" max="11786" width="12" style="24" bestFit="1" customWidth="1"/>
    <col min="11787" max="11787" width="15.7109375" style="24" bestFit="1" customWidth="1"/>
    <col min="11788" max="11788" width="13.7109375" style="24" bestFit="1" customWidth="1"/>
    <col min="11789" max="11789" width="15.28515625" style="24" bestFit="1" customWidth="1"/>
    <col min="11790" max="11790" width="13" style="24" bestFit="1" customWidth="1"/>
    <col min="11791" max="11791" width="13.7109375" style="24" bestFit="1" customWidth="1"/>
    <col min="11792" max="11792" width="16.7109375" style="24" bestFit="1" customWidth="1"/>
    <col min="11793" max="11793" width="14.140625" style="24" bestFit="1" customWidth="1"/>
    <col min="11794" max="11794" width="13" style="24" bestFit="1" customWidth="1"/>
    <col min="11795" max="11795" width="16.42578125" style="24" bestFit="1" customWidth="1"/>
    <col min="11796" max="11796" width="0" style="24" hidden="1" customWidth="1"/>
    <col min="11797" max="12032" width="11.42578125" style="24"/>
    <col min="12033" max="12033" width="26.28515625" style="24" customWidth="1"/>
    <col min="12034" max="12035" width="11.42578125" style="24"/>
    <col min="12036" max="12036" width="14" style="24" customWidth="1"/>
    <col min="12037" max="12037" width="15.28515625" style="24" customWidth="1"/>
    <col min="12038" max="12038" width="11.42578125" style="24" customWidth="1"/>
    <col min="12039" max="12039" width="15.7109375" style="24" bestFit="1" customWidth="1"/>
    <col min="12040" max="12040" width="11.42578125" style="24"/>
    <col min="12041" max="12041" width="13.42578125" style="24" bestFit="1" customWidth="1"/>
    <col min="12042" max="12042" width="12" style="24" bestFit="1" customWidth="1"/>
    <col min="12043" max="12043" width="15.7109375" style="24" bestFit="1" customWidth="1"/>
    <col min="12044" max="12044" width="13.7109375" style="24" bestFit="1" customWidth="1"/>
    <col min="12045" max="12045" width="15.28515625" style="24" bestFit="1" customWidth="1"/>
    <col min="12046" max="12046" width="13" style="24" bestFit="1" customWidth="1"/>
    <col min="12047" max="12047" width="13.7109375" style="24" bestFit="1" customWidth="1"/>
    <col min="12048" max="12048" width="16.7109375" style="24" bestFit="1" customWidth="1"/>
    <col min="12049" max="12049" width="14.140625" style="24" bestFit="1" customWidth="1"/>
    <col min="12050" max="12050" width="13" style="24" bestFit="1" customWidth="1"/>
    <col min="12051" max="12051" width="16.42578125" style="24" bestFit="1" customWidth="1"/>
    <col min="12052" max="12052" width="0" style="24" hidden="1" customWidth="1"/>
    <col min="12053" max="12288" width="11.42578125" style="24"/>
    <col min="12289" max="12289" width="26.28515625" style="24" customWidth="1"/>
    <col min="12290" max="12291" width="11.42578125" style="24"/>
    <col min="12292" max="12292" width="14" style="24" customWidth="1"/>
    <col min="12293" max="12293" width="15.28515625" style="24" customWidth="1"/>
    <col min="12294" max="12294" width="11.42578125" style="24" customWidth="1"/>
    <col min="12295" max="12295" width="15.7109375" style="24" bestFit="1" customWidth="1"/>
    <col min="12296" max="12296" width="11.42578125" style="24"/>
    <col min="12297" max="12297" width="13.42578125" style="24" bestFit="1" customWidth="1"/>
    <col min="12298" max="12298" width="12" style="24" bestFit="1" customWidth="1"/>
    <col min="12299" max="12299" width="15.7109375" style="24" bestFit="1" customWidth="1"/>
    <col min="12300" max="12300" width="13.7109375" style="24" bestFit="1" customWidth="1"/>
    <col min="12301" max="12301" width="15.28515625" style="24" bestFit="1" customWidth="1"/>
    <col min="12302" max="12302" width="13" style="24" bestFit="1" customWidth="1"/>
    <col min="12303" max="12303" width="13.7109375" style="24" bestFit="1" customWidth="1"/>
    <col min="12304" max="12304" width="16.7109375" style="24" bestFit="1" customWidth="1"/>
    <col min="12305" max="12305" width="14.140625" style="24" bestFit="1" customWidth="1"/>
    <col min="12306" max="12306" width="13" style="24" bestFit="1" customWidth="1"/>
    <col min="12307" max="12307" width="16.42578125" style="24" bestFit="1" customWidth="1"/>
    <col min="12308" max="12308" width="0" style="24" hidden="1" customWidth="1"/>
    <col min="12309" max="12544" width="11.42578125" style="24"/>
    <col min="12545" max="12545" width="26.28515625" style="24" customWidth="1"/>
    <col min="12546" max="12547" width="11.42578125" style="24"/>
    <col min="12548" max="12548" width="14" style="24" customWidth="1"/>
    <col min="12549" max="12549" width="15.28515625" style="24" customWidth="1"/>
    <col min="12550" max="12550" width="11.42578125" style="24" customWidth="1"/>
    <col min="12551" max="12551" width="15.7109375" style="24" bestFit="1" customWidth="1"/>
    <col min="12552" max="12552" width="11.42578125" style="24"/>
    <col min="12553" max="12553" width="13.42578125" style="24" bestFit="1" customWidth="1"/>
    <col min="12554" max="12554" width="12" style="24" bestFit="1" customWidth="1"/>
    <col min="12555" max="12555" width="15.7109375" style="24" bestFit="1" customWidth="1"/>
    <col min="12556" max="12556" width="13.7109375" style="24" bestFit="1" customWidth="1"/>
    <col min="12557" max="12557" width="15.28515625" style="24" bestFit="1" customWidth="1"/>
    <col min="12558" max="12558" width="13" style="24" bestFit="1" customWidth="1"/>
    <col min="12559" max="12559" width="13.7109375" style="24" bestFit="1" customWidth="1"/>
    <col min="12560" max="12560" width="16.7109375" style="24" bestFit="1" customWidth="1"/>
    <col min="12561" max="12561" width="14.140625" style="24" bestFit="1" customWidth="1"/>
    <col min="12562" max="12562" width="13" style="24" bestFit="1" customWidth="1"/>
    <col min="12563" max="12563" width="16.42578125" style="24" bestFit="1" customWidth="1"/>
    <col min="12564" max="12564" width="0" style="24" hidden="1" customWidth="1"/>
    <col min="12565" max="12800" width="11.42578125" style="24"/>
    <col min="12801" max="12801" width="26.28515625" style="24" customWidth="1"/>
    <col min="12802" max="12803" width="11.42578125" style="24"/>
    <col min="12804" max="12804" width="14" style="24" customWidth="1"/>
    <col min="12805" max="12805" width="15.28515625" style="24" customWidth="1"/>
    <col min="12806" max="12806" width="11.42578125" style="24" customWidth="1"/>
    <col min="12807" max="12807" width="15.7109375" style="24" bestFit="1" customWidth="1"/>
    <col min="12808" max="12808" width="11.42578125" style="24"/>
    <col min="12809" max="12809" width="13.42578125" style="24" bestFit="1" customWidth="1"/>
    <col min="12810" max="12810" width="12" style="24" bestFit="1" customWidth="1"/>
    <col min="12811" max="12811" width="15.7109375" style="24" bestFit="1" customWidth="1"/>
    <col min="12812" max="12812" width="13.7109375" style="24" bestFit="1" customWidth="1"/>
    <col min="12813" max="12813" width="15.28515625" style="24" bestFit="1" customWidth="1"/>
    <col min="12814" max="12814" width="13" style="24" bestFit="1" customWidth="1"/>
    <col min="12815" max="12815" width="13.7109375" style="24" bestFit="1" customWidth="1"/>
    <col min="12816" max="12816" width="16.7109375" style="24" bestFit="1" customWidth="1"/>
    <col min="12817" max="12817" width="14.140625" style="24" bestFit="1" customWidth="1"/>
    <col min="12818" max="12818" width="13" style="24" bestFit="1" customWidth="1"/>
    <col min="12819" max="12819" width="16.42578125" style="24" bestFit="1" customWidth="1"/>
    <col min="12820" max="12820" width="0" style="24" hidden="1" customWidth="1"/>
    <col min="12821" max="13056" width="11.42578125" style="24"/>
    <col min="13057" max="13057" width="26.28515625" style="24" customWidth="1"/>
    <col min="13058" max="13059" width="11.42578125" style="24"/>
    <col min="13060" max="13060" width="14" style="24" customWidth="1"/>
    <col min="13061" max="13061" width="15.28515625" style="24" customWidth="1"/>
    <col min="13062" max="13062" width="11.42578125" style="24" customWidth="1"/>
    <col min="13063" max="13063" width="15.7109375" style="24" bestFit="1" customWidth="1"/>
    <col min="13064" max="13064" width="11.42578125" style="24"/>
    <col min="13065" max="13065" width="13.42578125" style="24" bestFit="1" customWidth="1"/>
    <col min="13066" max="13066" width="12" style="24" bestFit="1" customWidth="1"/>
    <col min="13067" max="13067" width="15.7109375" style="24" bestFit="1" customWidth="1"/>
    <col min="13068" max="13068" width="13.7109375" style="24" bestFit="1" customWidth="1"/>
    <col min="13069" max="13069" width="15.28515625" style="24" bestFit="1" customWidth="1"/>
    <col min="13070" max="13070" width="13" style="24" bestFit="1" customWidth="1"/>
    <col min="13071" max="13071" width="13.7109375" style="24" bestFit="1" customWidth="1"/>
    <col min="13072" max="13072" width="16.7109375" style="24" bestFit="1" customWidth="1"/>
    <col min="13073" max="13073" width="14.140625" style="24" bestFit="1" customWidth="1"/>
    <col min="13074" max="13074" width="13" style="24" bestFit="1" customWidth="1"/>
    <col min="13075" max="13075" width="16.42578125" style="24" bestFit="1" customWidth="1"/>
    <col min="13076" max="13076" width="0" style="24" hidden="1" customWidth="1"/>
    <col min="13077" max="13312" width="11.42578125" style="24"/>
    <col min="13313" max="13313" width="26.28515625" style="24" customWidth="1"/>
    <col min="13314" max="13315" width="11.42578125" style="24"/>
    <col min="13316" max="13316" width="14" style="24" customWidth="1"/>
    <col min="13317" max="13317" width="15.28515625" style="24" customWidth="1"/>
    <col min="13318" max="13318" width="11.42578125" style="24" customWidth="1"/>
    <col min="13319" max="13319" width="15.7109375" style="24" bestFit="1" customWidth="1"/>
    <col min="13320" max="13320" width="11.42578125" style="24"/>
    <col min="13321" max="13321" width="13.42578125" style="24" bestFit="1" customWidth="1"/>
    <col min="13322" max="13322" width="12" style="24" bestFit="1" customWidth="1"/>
    <col min="13323" max="13323" width="15.7109375" style="24" bestFit="1" customWidth="1"/>
    <col min="13324" max="13324" width="13.7109375" style="24" bestFit="1" customWidth="1"/>
    <col min="13325" max="13325" width="15.28515625" style="24" bestFit="1" customWidth="1"/>
    <col min="13326" max="13326" width="13" style="24" bestFit="1" customWidth="1"/>
    <col min="13327" max="13327" width="13.7109375" style="24" bestFit="1" customWidth="1"/>
    <col min="13328" max="13328" width="16.7109375" style="24" bestFit="1" customWidth="1"/>
    <col min="13329" max="13329" width="14.140625" style="24" bestFit="1" customWidth="1"/>
    <col min="13330" max="13330" width="13" style="24" bestFit="1" customWidth="1"/>
    <col min="13331" max="13331" width="16.42578125" style="24" bestFit="1" customWidth="1"/>
    <col min="13332" max="13332" width="0" style="24" hidden="1" customWidth="1"/>
    <col min="13333" max="13568" width="11.42578125" style="24"/>
    <col min="13569" max="13569" width="26.28515625" style="24" customWidth="1"/>
    <col min="13570" max="13571" width="11.42578125" style="24"/>
    <col min="13572" max="13572" width="14" style="24" customWidth="1"/>
    <col min="13573" max="13573" width="15.28515625" style="24" customWidth="1"/>
    <col min="13574" max="13574" width="11.42578125" style="24" customWidth="1"/>
    <col min="13575" max="13575" width="15.7109375" style="24" bestFit="1" customWidth="1"/>
    <col min="13576" max="13576" width="11.42578125" style="24"/>
    <col min="13577" max="13577" width="13.42578125" style="24" bestFit="1" customWidth="1"/>
    <col min="13578" max="13578" width="12" style="24" bestFit="1" customWidth="1"/>
    <col min="13579" max="13579" width="15.7109375" style="24" bestFit="1" customWidth="1"/>
    <col min="13580" max="13580" width="13.7109375" style="24" bestFit="1" customWidth="1"/>
    <col min="13581" max="13581" width="15.28515625" style="24" bestFit="1" customWidth="1"/>
    <col min="13582" max="13582" width="13" style="24" bestFit="1" customWidth="1"/>
    <col min="13583" max="13583" width="13.7109375" style="24" bestFit="1" customWidth="1"/>
    <col min="13584" max="13584" width="16.7109375" style="24" bestFit="1" customWidth="1"/>
    <col min="13585" max="13585" width="14.140625" style="24" bestFit="1" customWidth="1"/>
    <col min="13586" max="13586" width="13" style="24" bestFit="1" customWidth="1"/>
    <col min="13587" max="13587" width="16.42578125" style="24" bestFit="1" customWidth="1"/>
    <col min="13588" max="13588" width="0" style="24" hidden="1" customWidth="1"/>
    <col min="13589" max="13824" width="11.42578125" style="24"/>
    <col min="13825" max="13825" width="26.28515625" style="24" customWidth="1"/>
    <col min="13826" max="13827" width="11.42578125" style="24"/>
    <col min="13828" max="13828" width="14" style="24" customWidth="1"/>
    <col min="13829" max="13829" width="15.28515625" style="24" customWidth="1"/>
    <col min="13830" max="13830" width="11.42578125" style="24" customWidth="1"/>
    <col min="13831" max="13831" width="15.7109375" style="24" bestFit="1" customWidth="1"/>
    <col min="13832" max="13832" width="11.42578125" style="24"/>
    <col min="13833" max="13833" width="13.42578125" style="24" bestFit="1" customWidth="1"/>
    <col min="13834" max="13834" width="12" style="24" bestFit="1" customWidth="1"/>
    <col min="13835" max="13835" width="15.7109375" style="24" bestFit="1" customWidth="1"/>
    <col min="13836" max="13836" width="13.7109375" style="24" bestFit="1" customWidth="1"/>
    <col min="13837" max="13837" width="15.28515625" style="24" bestFit="1" customWidth="1"/>
    <col min="13838" max="13838" width="13" style="24" bestFit="1" customWidth="1"/>
    <col min="13839" max="13839" width="13.7109375" style="24" bestFit="1" customWidth="1"/>
    <col min="13840" max="13840" width="16.7109375" style="24" bestFit="1" customWidth="1"/>
    <col min="13841" max="13841" width="14.140625" style="24" bestFit="1" customWidth="1"/>
    <col min="13842" max="13842" width="13" style="24" bestFit="1" customWidth="1"/>
    <col min="13843" max="13843" width="16.42578125" style="24" bestFit="1" customWidth="1"/>
    <col min="13844" max="13844" width="0" style="24" hidden="1" customWidth="1"/>
    <col min="13845" max="14080" width="11.42578125" style="24"/>
    <col min="14081" max="14081" width="26.28515625" style="24" customWidth="1"/>
    <col min="14082" max="14083" width="11.42578125" style="24"/>
    <col min="14084" max="14084" width="14" style="24" customWidth="1"/>
    <col min="14085" max="14085" width="15.28515625" style="24" customWidth="1"/>
    <col min="14086" max="14086" width="11.42578125" style="24" customWidth="1"/>
    <col min="14087" max="14087" width="15.7109375" style="24" bestFit="1" customWidth="1"/>
    <col min="14088" max="14088" width="11.42578125" style="24"/>
    <col min="14089" max="14089" width="13.42578125" style="24" bestFit="1" customWidth="1"/>
    <col min="14090" max="14090" width="12" style="24" bestFit="1" customWidth="1"/>
    <col min="14091" max="14091" width="15.7109375" style="24" bestFit="1" customWidth="1"/>
    <col min="14092" max="14092" width="13.7109375" style="24" bestFit="1" customWidth="1"/>
    <col min="14093" max="14093" width="15.28515625" style="24" bestFit="1" customWidth="1"/>
    <col min="14094" max="14094" width="13" style="24" bestFit="1" customWidth="1"/>
    <col min="14095" max="14095" width="13.7109375" style="24" bestFit="1" customWidth="1"/>
    <col min="14096" max="14096" width="16.7109375" style="24" bestFit="1" customWidth="1"/>
    <col min="14097" max="14097" width="14.140625" style="24" bestFit="1" customWidth="1"/>
    <col min="14098" max="14098" width="13" style="24" bestFit="1" customWidth="1"/>
    <col min="14099" max="14099" width="16.42578125" style="24" bestFit="1" customWidth="1"/>
    <col min="14100" max="14100" width="0" style="24" hidden="1" customWidth="1"/>
    <col min="14101" max="14336" width="11.42578125" style="24"/>
    <col min="14337" max="14337" width="26.28515625" style="24" customWidth="1"/>
    <col min="14338" max="14339" width="11.42578125" style="24"/>
    <col min="14340" max="14340" width="14" style="24" customWidth="1"/>
    <col min="14341" max="14341" width="15.28515625" style="24" customWidth="1"/>
    <col min="14342" max="14342" width="11.42578125" style="24" customWidth="1"/>
    <col min="14343" max="14343" width="15.7109375" style="24" bestFit="1" customWidth="1"/>
    <col min="14344" max="14344" width="11.42578125" style="24"/>
    <col min="14345" max="14345" width="13.42578125" style="24" bestFit="1" customWidth="1"/>
    <col min="14346" max="14346" width="12" style="24" bestFit="1" customWidth="1"/>
    <col min="14347" max="14347" width="15.7109375" style="24" bestFit="1" customWidth="1"/>
    <col min="14348" max="14348" width="13.7109375" style="24" bestFit="1" customWidth="1"/>
    <col min="14349" max="14349" width="15.28515625" style="24" bestFit="1" customWidth="1"/>
    <col min="14350" max="14350" width="13" style="24" bestFit="1" customWidth="1"/>
    <col min="14351" max="14351" width="13.7109375" style="24" bestFit="1" customWidth="1"/>
    <col min="14352" max="14352" width="16.7109375" style="24" bestFit="1" customWidth="1"/>
    <col min="14353" max="14353" width="14.140625" style="24" bestFit="1" customWidth="1"/>
    <col min="14354" max="14354" width="13" style="24" bestFit="1" customWidth="1"/>
    <col min="14355" max="14355" width="16.42578125" style="24" bestFit="1" customWidth="1"/>
    <col min="14356" max="14356" width="0" style="24" hidden="1" customWidth="1"/>
    <col min="14357" max="14592" width="11.42578125" style="24"/>
    <col min="14593" max="14593" width="26.28515625" style="24" customWidth="1"/>
    <col min="14594" max="14595" width="11.42578125" style="24"/>
    <col min="14596" max="14596" width="14" style="24" customWidth="1"/>
    <col min="14597" max="14597" width="15.28515625" style="24" customWidth="1"/>
    <col min="14598" max="14598" width="11.42578125" style="24" customWidth="1"/>
    <col min="14599" max="14599" width="15.7109375" style="24" bestFit="1" customWidth="1"/>
    <col min="14600" max="14600" width="11.42578125" style="24"/>
    <col min="14601" max="14601" width="13.42578125" style="24" bestFit="1" customWidth="1"/>
    <col min="14602" max="14602" width="12" style="24" bestFit="1" customWidth="1"/>
    <col min="14603" max="14603" width="15.7109375" style="24" bestFit="1" customWidth="1"/>
    <col min="14604" max="14604" width="13.7109375" style="24" bestFit="1" customWidth="1"/>
    <col min="14605" max="14605" width="15.28515625" style="24" bestFit="1" customWidth="1"/>
    <col min="14606" max="14606" width="13" style="24" bestFit="1" customWidth="1"/>
    <col min="14607" max="14607" width="13.7109375" style="24" bestFit="1" customWidth="1"/>
    <col min="14608" max="14608" width="16.7109375" style="24" bestFit="1" customWidth="1"/>
    <col min="14609" max="14609" width="14.140625" style="24" bestFit="1" customWidth="1"/>
    <col min="14610" max="14610" width="13" style="24" bestFit="1" customWidth="1"/>
    <col min="14611" max="14611" width="16.42578125" style="24" bestFit="1" customWidth="1"/>
    <col min="14612" max="14612" width="0" style="24" hidden="1" customWidth="1"/>
    <col min="14613" max="14848" width="11.42578125" style="24"/>
    <col min="14849" max="14849" width="26.28515625" style="24" customWidth="1"/>
    <col min="14850" max="14851" width="11.42578125" style="24"/>
    <col min="14852" max="14852" width="14" style="24" customWidth="1"/>
    <col min="14853" max="14853" width="15.28515625" style="24" customWidth="1"/>
    <col min="14854" max="14854" width="11.42578125" style="24" customWidth="1"/>
    <col min="14855" max="14855" width="15.7109375" style="24" bestFit="1" customWidth="1"/>
    <col min="14856" max="14856" width="11.42578125" style="24"/>
    <col min="14857" max="14857" width="13.42578125" style="24" bestFit="1" customWidth="1"/>
    <col min="14858" max="14858" width="12" style="24" bestFit="1" customWidth="1"/>
    <col min="14859" max="14859" width="15.7109375" style="24" bestFit="1" customWidth="1"/>
    <col min="14860" max="14860" width="13.7109375" style="24" bestFit="1" customWidth="1"/>
    <col min="14861" max="14861" width="15.28515625" style="24" bestFit="1" customWidth="1"/>
    <col min="14862" max="14862" width="13" style="24" bestFit="1" customWidth="1"/>
    <col min="14863" max="14863" width="13.7109375" style="24" bestFit="1" customWidth="1"/>
    <col min="14864" max="14864" width="16.7109375" style="24" bestFit="1" customWidth="1"/>
    <col min="14865" max="14865" width="14.140625" style="24" bestFit="1" customWidth="1"/>
    <col min="14866" max="14866" width="13" style="24" bestFit="1" customWidth="1"/>
    <col min="14867" max="14867" width="16.42578125" style="24" bestFit="1" customWidth="1"/>
    <col min="14868" max="14868" width="0" style="24" hidden="1" customWidth="1"/>
    <col min="14869" max="15104" width="11.42578125" style="24"/>
    <col min="15105" max="15105" width="26.28515625" style="24" customWidth="1"/>
    <col min="15106" max="15107" width="11.42578125" style="24"/>
    <col min="15108" max="15108" width="14" style="24" customWidth="1"/>
    <col min="15109" max="15109" width="15.28515625" style="24" customWidth="1"/>
    <col min="15110" max="15110" width="11.42578125" style="24" customWidth="1"/>
    <col min="15111" max="15111" width="15.7109375" style="24" bestFit="1" customWidth="1"/>
    <col min="15112" max="15112" width="11.42578125" style="24"/>
    <col min="15113" max="15113" width="13.42578125" style="24" bestFit="1" customWidth="1"/>
    <col min="15114" max="15114" width="12" style="24" bestFit="1" customWidth="1"/>
    <col min="15115" max="15115" width="15.7109375" style="24" bestFit="1" customWidth="1"/>
    <col min="15116" max="15116" width="13.7109375" style="24" bestFit="1" customWidth="1"/>
    <col min="15117" max="15117" width="15.28515625" style="24" bestFit="1" customWidth="1"/>
    <col min="15118" max="15118" width="13" style="24" bestFit="1" customWidth="1"/>
    <col min="15119" max="15119" width="13.7109375" style="24" bestFit="1" customWidth="1"/>
    <col min="15120" max="15120" width="16.7109375" style="24" bestFit="1" customWidth="1"/>
    <col min="15121" max="15121" width="14.140625" style="24" bestFit="1" customWidth="1"/>
    <col min="15122" max="15122" width="13" style="24" bestFit="1" customWidth="1"/>
    <col min="15123" max="15123" width="16.42578125" style="24" bestFit="1" customWidth="1"/>
    <col min="15124" max="15124" width="0" style="24" hidden="1" customWidth="1"/>
    <col min="15125" max="15360" width="11.42578125" style="24"/>
    <col min="15361" max="15361" width="26.28515625" style="24" customWidth="1"/>
    <col min="15362" max="15363" width="11.42578125" style="24"/>
    <col min="15364" max="15364" width="14" style="24" customWidth="1"/>
    <col min="15365" max="15365" width="15.28515625" style="24" customWidth="1"/>
    <col min="15366" max="15366" width="11.42578125" style="24" customWidth="1"/>
    <col min="15367" max="15367" width="15.7109375" style="24" bestFit="1" customWidth="1"/>
    <col min="15368" max="15368" width="11.42578125" style="24"/>
    <col min="15369" max="15369" width="13.42578125" style="24" bestFit="1" customWidth="1"/>
    <col min="15370" max="15370" width="12" style="24" bestFit="1" customWidth="1"/>
    <col min="15371" max="15371" width="15.7109375" style="24" bestFit="1" customWidth="1"/>
    <col min="15372" max="15372" width="13.7109375" style="24" bestFit="1" customWidth="1"/>
    <col min="15373" max="15373" width="15.28515625" style="24" bestFit="1" customWidth="1"/>
    <col min="15374" max="15374" width="13" style="24" bestFit="1" customWidth="1"/>
    <col min="15375" max="15375" width="13.7109375" style="24" bestFit="1" customWidth="1"/>
    <col min="15376" max="15376" width="16.7109375" style="24" bestFit="1" customWidth="1"/>
    <col min="15377" max="15377" width="14.140625" style="24" bestFit="1" customWidth="1"/>
    <col min="15378" max="15378" width="13" style="24" bestFit="1" customWidth="1"/>
    <col min="15379" max="15379" width="16.42578125" style="24" bestFit="1" customWidth="1"/>
    <col min="15380" max="15380" width="0" style="24" hidden="1" customWidth="1"/>
    <col min="15381" max="15616" width="11.42578125" style="24"/>
    <col min="15617" max="15617" width="26.28515625" style="24" customWidth="1"/>
    <col min="15618" max="15619" width="11.42578125" style="24"/>
    <col min="15620" max="15620" width="14" style="24" customWidth="1"/>
    <col min="15621" max="15621" width="15.28515625" style="24" customWidth="1"/>
    <col min="15622" max="15622" width="11.42578125" style="24" customWidth="1"/>
    <col min="15623" max="15623" width="15.7109375" style="24" bestFit="1" customWidth="1"/>
    <col min="15624" max="15624" width="11.42578125" style="24"/>
    <col min="15625" max="15625" width="13.42578125" style="24" bestFit="1" customWidth="1"/>
    <col min="15626" max="15626" width="12" style="24" bestFit="1" customWidth="1"/>
    <col min="15627" max="15627" width="15.7109375" style="24" bestFit="1" customWidth="1"/>
    <col min="15628" max="15628" width="13.7109375" style="24" bestFit="1" customWidth="1"/>
    <col min="15629" max="15629" width="15.28515625" style="24" bestFit="1" customWidth="1"/>
    <col min="15630" max="15630" width="13" style="24" bestFit="1" customWidth="1"/>
    <col min="15631" max="15631" width="13.7109375" style="24" bestFit="1" customWidth="1"/>
    <col min="15632" max="15632" width="16.7109375" style="24" bestFit="1" customWidth="1"/>
    <col min="15633" max="15633" width="14.140625" style="24" bestFit="1" customWidth="1"/>
    <col min="15634" max="15634" width="13" style="24" bestFit="1" customWidth="1"/>
    <col min="15635" max="15635" width="16.42578125" style="24" bestFit="1" customWidth="1"/>
    <col min="15636" max="15636" width="0" style="24" hidden="1" customWidth="1"/>
    <col min="15637" max="15872" width="11.42578125" style="24"/>
    <col min="15873" max="15873" width="26.28515625" style="24" customWidth="1"/>
    <col min="15874" max="15875" width="11.42578125" style="24"/>
    <col min="15876" max="15876" width="14" style="24" customWidth="1"/>
    <col min="15877" max="15877" width="15.28515625" style="24" customWidth="1"/>
    <col min="15878" max="15878" width="11.42578125" style="24" customWidth="1"/>
    <col min="15879" max="15879" width="15.7109375" style="24" bestFit="1" customWidth="1"/>
    <col min="15880" max="15880" width="11.42578125" style="24"/>
    <col min="15881" max="15881" width="13.42578125" style="24" bestFit="1" customWidth="1"/>
    <col min="15882" max="15882" width="12" style="24" bestFit="1" customWidth="1"/>
    <col min="15883" max="15883" width="15.7109375" style="24" bestFit="1" customWidth="1"/>
    <col min="15884" max="15884" width="13.7109375" style="24" bestFit="1" customWidth="1"/>
    <col min="15885" max="15885" width="15.28515625" style="24" bestFit="1" customWidth="1"/>
    <col min="15886" max="15886" width="13" style="24" bestFit="1" customWidth="1"/>
    <col min="15887" max="15887" width="13.7109375" style="24" bestFit="1" customWidth="1"/>
    <col min="15888" max="15888" width="16.7109375" style="24" bestFit="1" customWidth="1"/>
    <col min="15889" max="15889" width="14.140625" style="24" bestFit="1" customWidth="1"/>
    <col min="15890" max="15890" width="13" style="24" bestFit="1" customWidth="1"/>
    <col min="15891" max="15891" width="16.42578125" style="24" bestFit="1" customWidth="1"/>
    <col min="15892" max="15892" width="0" style="24" hidden="1" customWidth="1"/>
    <col min="15893" max="16128" width="11.42578125" style="24"/>
    <col min="16129" max="16129" width="26.28515625" style="24" customWidth="1"/>
    <col min="16130" max="16131" width="11.42578125" style="24"/>
    <col min="16132" max="16132" width="14" style="24" customWidth="1"/>
    <col min="16133" max="16133" width="15.28515625" style="24" customWidth="1"/>
    <col min="16134" max="16134" width="11.42578125" style="24" customWidth="1"/>
    <col min="16135" max="16135" width="15.7109375" style="24" bestFit="1" customWidth="1"/>
    <col min="16136" max="16136" width="11.42578125" style="24"/>
    <col min="16137" max="16137" width="13.42578125" style="24" bestFit="1" customWidth="1"/>
    <col min="16138" max="16138" width="12" style="24" bestFit="1" customWidth="1"/>
    <col min="16139" max="16139" width="15.7109375" style="24" bestFit="1" customWidth="1"/>
    <col min="16140" max="16140" width="13.7109375" style="24" bestFit="1" customWidth="1"/>
    <col min="16141" max="16141" width="15.28515625" style="24" bestFit="1" customWidth="1"/>
    <col min="16142" max="16142" width="13" style="24" bestFit="1" customWidth="1"/>
    <col min="16143" max="16143" width="13.7109375" style="24" bestFit="1" customWidth="1"/>
    <col min="16144" max="16144" width="16.7109375" style="24" bestFit="1" customWidth="1"/>
    <col min="16145" max="16145" width="14.140625" style="24" bestFit="1" customWidth="1"/>
    <col min="16146" max="16146" width="13" style="24" bestFit="1" customWidth="1"/>
    <col min="16147" max="16147" width="16.42578125" style="24" bestFit="1" customWidth="1"/>
    <col min="16148" max="16148" width="0" style="24" hidden="1" customWidth="1"/>
    <col min="16149" max="16384" width="11.42578125" style="24"/>
  </cols>
  <sheetData>
    <row r="1" spans="1:20" s="22" customFormat="1" ht="12.75">
      <c r="A1" s="74" t="s">
        <v>25</v>
      </c>
      <c r="B1" s="201"/>
      <c r="C1" s="202"/>
      <c r="D1" s="209"/>
      <c r="E1" s="202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10"/>
      <c r="Q1" s="201"/>
      <c r="R1" s="201"/>
      <c r="S1" s="201"/>
      <c r="T1" s="211"/>
    </row>
    <row r="2" spans="1:20" s="22" customFormat="1" ht="12.75">
      <c r="A2" s="843" t="s">
        <v>26</v>
      </c>
      <c r="B2" s="843"/>
      <c r="C2" s="843"/>
      <c r="D2" s="843"/>
      <c r="E2" s="843"/>
      <c r="F2" s="843"/>
      <c r="G2" s="843"/>
      <c r="H2" s="843"/>
      <c r="I2" s="843"/>
      <c r="J2" s="200"/>
      <c r="K2" s="200"/>
      <c r="L2" s="200"/>
      <c r="M2" s="200"/>
      <c r="N2" s="200"/>
      <c r="O2" s="200"/>
      <c r="P2" s="55"/>
      <c r="Q2" s="200"/>
      <c r="R2" s="200"/>
      <c r="S2" s="200"/>
      <c r="T2" s="200"/>
    </row>
    <row r="3" spans="1:20" s="22" customFormat="1" ht="12.75">
      <c r="A3" s="843" t="s">
        <v>470</v>
      </c>
      <c r="B3" s="843"/>
      <c r="C3" s="843"/>
      <c r="D3" s="843"/>
      <c r="E3" s="843"/>
      <c r="F3" s="843"/>
      <c r="G3" s="843"/>
      <c r="H3" s="843"/>
      <c r="I3" s="843"/>
      <c r="J3" s="53"/>
      <c r="K3" s="53"/>
      <c r="L3" s="53"/>
      <c r="M3" s="53"/>
      <c r="N3" s="53"/>
      <c r="O3" s="53"/>
      <c r="P3" s="55"/>
      <c r="Q3" s="53"/>
      <c r="R3" s="53"/>
      <c r="S3" s="53"/>
      <c r="T3" s="53"/>
    </row>
    <row r="4" spans="1:20" s="22" customFormat="1" ht="13.5" thickBot="1">
      <c r="A4" s="843" t="s">
        <v>472</v>
      </c>
      <c r="B4" s="843"/>
      <c r="C4" s="843"/>
      <c r="D4" s="843"/>
      <c r="E4" s="843"/>
      <c r="F4" s="843"/>
      <c r="G4" s="843"/>
      <c r="H4" s="843"/>
      <c r="I4" s="843"/>
      <c r="J4" s="53"/>
      <c r="K4" s="53"/>
      <c r="L4" s="53"/>
      <c r="M4" s="53"/>
      <c r="N4" s="53"/>
      <c r="O4" s="53"/>
      <c r="P4" s="55"/>
      <c r="Q4" s="53"/>
      <c r="R4" s="53"/>
      <c r="S4" s="53"/>
      <c r="T4" s="53"/>
    </row>
    <row r="5" spans="1:20" s="228" customFormat="1" ht="15" customHeight="1">
      <c r="A5" s="869" t="s">
        <v>462</v>
      </c>
      <c r="B5" s="871" t="s">
        <v>463</v>
      </c>
      <c r="C5" s="873" t="s">
        <v>37</v>
      </c>
      <c r="D5" s="874" t="s">
        <v>100</v>
      </c>
      <c r="E5" s="876" t="s">
        <v>101</v>
      </c>
      <c r="F5" s="873" t="s">
        <v>38</v>
      </c>
      <c r="G5" s="871" t="s">
        <v>165</v>
      </c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9"/>
      <c r="T5" s="861" t="s">
        <v>929</v>
      </c>
    </row>
    <row r="6" spans="1:20" s="228" customFormat="1" ht="29.25" customHeight="1">
      <c r="A6" s="870" t="s">
        <v>29</v>
      </c>
      <c r="B6" s="872"/>
      <c r="C6" s="872"/>
      <c r="D6" s="875"/>
      <c r="E6" s="877"/>
      <c r="F6" s="878" t="s">
        <v>31</v>
      </c>
      <c r="G6" s="216">
        <v>11</v>
      </c>
      <c r="H6" s="216">
        <v>12</v>
      </c>
      <c r="I6" s="216">
        <v>13</v>
      </c>
      <c r="J6" s="216">
        <v>14</v>
      </c>
      <c r="K6" s="216">
        <v>15</v>
      </c>
      <c r="L6" s="216">
        <v>21</v>
      </c>
      <c r="M6" s="216">
        <v>22</v>
      </c>
      <c r="N6" s="216">
        <v>26</v>
      </c>
      <c r="O6" s="216">
        <v>27</v>
      </c>
      <c r="P6" s="216">
        <v>29</v>
      </c>
      <c r="Q6" s="216">
        <v>31</v>
      </c>
      <c r="R6" s="216">
        <v>32</v>
      </c>
      <c r="S6" s="217">
        <v>33</v>
      </c>
      <c r="T6" s="862"/>
    </row>
    <row r="7" spans="1:20">
      <c r="A7" s="58" t="s">
        <v>177</v>
      </c>
      <c r="B7" s="72">
        <v>3</v>
      </c>
      <c r="C7" s="59">
        <v>2120</v>
      </c>
      <c r="D7" s="212">
        <v>12</v>
      </c>
      <c r="E7" s="218">
        <f t="shared" ref="E7:E70" si="0">T7*12</f>
        <v>202020</v>
      </c>
      <c r="F7" s="60" t="s">
        <v>166</v>
      </c>
      <c r="G7" s="61">
        <v>6360</v>
      </c>
      <c r="H7" s="61"/>
      <c r="I7" s="61">
        <v>125</v>
      </c>
      <c r="J7" s="61"/>
      <c r="K7" s="61">
        <v>10350</v>
      </c>
      <c r="L7" s="61"/>
      <c r="M7" s="61"/>
      <c r="N7" s="61"/>
      <c r="O7" s="61"/>
      <c r="P7" s="62"/>
      <c r="Q7" s="61"/>
      <c r="R7" s="61"/>
      <c r="S7" s="213"/>
      <c r="T7" s="219">
        <f>SUM(G7:S7)</f>
        <v>16835</v>
      </c>
    </row>
    <row r="8" spans="1:20">
      <c r="A8" s="58" t="s">
        <v>178</v>
      </c>
      <c r="B8" s="72">
        <v>4</v>
      </c>
      <c r="C8" s="63">
        <v>2281</v>
      </c>
      <c r="D8" s="212">
        <v>12</v>
      </c>
      <c r="E8" s="218">
        <f t="shared" si="0"/>
        <v>277908</v>
      </c>
      <c r="F8" s="60" t="s">
        <v>166</v>
      </c>
      <c r="G8" s="61">
        <v>9124</v>
      </c>
      <c r="H8" s="61"/>
      <c r="I8" s="61">
        <v>235</v>
      </c>
      <c r="J8" s="61"/>
      <c r="K8" s="61">
        <v>13800</v>
      </c>
      <c r="L8" s="61"/>
      <c r="M8" s="61"/>
      <c r="N8" s="61"/>
      <c r="O8" s="61"/>
      <c r="P8" s="62"/>
      <c r="Q8" s="61"/>
      <c r="R8" s="61"/>
      <c r="S8" s="213"/>
      <c r="T8" s="219">
        <f t="shared" ref="T8:T71" si="1">SUM(G8:S8)</f>
        <v>23159</v>
      </c>
    </row>
    <row r="9" spans="1:20">
      <c r="A9" s="58" t="s">
        <v>179</v>
      </c>
      <c r="B9" s="72">
        <v>2</v>
      </c>
      <c r="C9" s="63">
        <v>2441</v>
      </c>
      <c r="D9" s="212">
        <v>12</v>
      </c>
      <c r="E9" s="218">
        <f t="shared" si="0"/>
        <v>146784</v>
      </c>
      <c r="F9" s="60" t="s">
        <v>166</v>
      </c>
      <c r="G9" s="61">
        <v>4882</v>
      </c>
      <c r="H9" s="61"/>
      <c r="I9" s="61">
        <v>150</v>
      </c>
      <c r="J9" s="61"/>
      <c r="K9" s="61">
        <v>7200</v>
      </c>
      <c r="L9" s="61"/>
      <c r="M9" s="61"/>
      <c r="N9" s="61"/>
      <c r="O9" s="61"/>
      <c r="P9" s="62"/>
      <c r="Q9" s="61"/>
      <c r="R9" s="61"/>
      <c r="S9" s="213"/>
      <c r="T9" s="219">
        <f t="shared" si="1"/>
        <v>12232</v>
      </c>
    </row>
    <row r="10" spans="1:20">
      <c r="A10" s="58" t="s">
        <v>180</v>
      </c>
      <c r="B10" s="72">
        <v>1</v>
      </c>
      <c r="C10" s="63">
        <v>2604</v>
      </c>
      <c r="D10" s="212">
        <v>12</v>
      </c>
      <c r="E10" s="218">
        <f t="shared" si="0"/>
        <v>72648</v>
      </c>
      <c r="F10" s="60" t="s">
        <v>166</v>
      </c>
      <c r="G10" s="61">
        <v>2604</v>
      </c>
      <c r="H10" s="61"/>
      <c r="I10" s="61">
        <v>0</v>
      </c>
      <c r="J10" s="61"/>
      <c r="K10" s="61">
        <v>3450</v>
      </c>
      <c r="L10" s="61"/>
      <c r="M10" s="61"/>
      <c r="N10" s="61"/>
      <c r="O10" s="61"/>
      <c r="P10" s="62"/>
      <c r="Q10" s="61"/>
      <c r="R10" s="61"/>
      <c r="S10" s="213"/>
      <c r="T10" s="219">
        <f t="shared" si="1"/>
        <v>6054</v>
      </c>
    </row>
    <row r="11" spans="1:20">
      <c r="A11" s="58" t="s">
        <v>45</v>
      </c>
      <c r="B11" s="72">
        <v>1</v>
      </c>
      <c r="C11" s="63">
        <v>1555</v>
      </c>
      <c r="D11" s="212">
        <v>12</v>
      </c>
      <c r="E11" s="218">
        <f t="shared" si="0"/>
        <v>64560</v>
      </c>
      <c r="F11" s="60" t="s">
        <v>166</v>
      </c>
      <c r="G11" s="61">
        <v>1555</v>
      </c>
      <c r="H11" s="61"/>
      <c r="I11" s="61">
        <v>75</v>
      </c>
      <c r="J11" s="61"/>
      <c r="K11" s="61">
        <v>3750</v>
      </c>
      <c r="L11" s="61"/>
      <c r="M11" s="61"/>
      <c r="N11" s="61"/>
      <c r="O11" s="61"/>
      <c r="P11" s="62"/>
      <c r="Q11" s="61"/>
      <c r="R11" s="61"/>
      <c r="S11" s="213"/>
      <c r="T11" s="219">
        <f t="shared" si="1"/>
        <v>5380</v>
      </c>
    </row>
    <row r="12" spans="1:20">
      <c r="A12" s="58" t="s">
        <v>41</v>
      </c>
      <c r="B12" s="72">
        <v>1</v>
      </c>
      <c r="C12" s="63">
        <v>1649</v>
      </c>
      <c r="D12" s="212">
        <v>12</v>
      </c>
      <c r="E12" s="218">
        <f t="shared" si="0"/>
        <v>65688</v>
      </c>
      <c r="F12" s="60" t="s">
        <v>166</v>
      </c>
      <c r="G12" s="61">
        <v>1649</v>
      </c>
      <c r="H12" s="61"/>
      <c r="I12" s="61">
        <v>75</v>
      </c>
      <c r="J12" s="61"/>
      <c r="K12" s="61">
        <v>3750</v>
      </c>
      <c r="L12" s="61"/>
      <c r="M12" s="61"/>
      <c r="N12" s="61"/>
      <c r="O12" s="61"/>
      <c r="P12" s="62"/>
      <c r="Q12" s="61"/>
      <c r="R12" s="61"/>
      <c r="S12" s="213"/>
      <c r="T12" s="219">
        <f t="shared" si="1"/>
        <v>5474</v>
      </c>
    </row>
    <row r="13" spans="1:20">
      <c r="A13" s="58" t="s">
        <v>181</v>
      </c>
      <c r="B13" s="72">
        <v>1</v>
      </c>
      <c r="C13" s="63">
        <v>1991</v>
      </c>
      <c r="D13" s="212">
        <v>12</v>
      </c>
      <c r="E13" s="218">
        <f t="shared" si="0"/>
        <v>65292</v>
      </c>
      <c r="F13" s="60" t="s">
        <v>166</v>
      </c>
      <c r="G13" s="61">
        <v>1991</v>
      </c>
      <c r="H13" s="61"/>
      <c r="I13" s="61">
        <v>0</v>
      </c>
      <c r="J13" s="61"/>
      <c r="K13" s="61">
        <v>3450</v>
      </c>
      <c r="L13" s="61"/>
      <c r="M13" s="61"/>
      <c r="N13" s="61"/>
      <c r="O13" s="61"/>
      <c r="P13" s="62"/>
      <c r="Q13" s="61"/>
      <c r="R13" s="61"/>
      <c r="S13" s="213"/>
      <c r="T13" s="219">
        <f t="shared" si="1"/>
        <v>5441</v>
      </c>
    </row>
    <row r="14" spans="1:20">
      <c r="A14" s="58" t="s">
        <v>43</v>
      </c>
      <c r="B14" s="72">
        <v>3</v>
      </c>
      <c r="C14" s="63">
        <v>3384</v>
      </c>
      <c r="D14" s="212">
        <v>12</v>
      </c>
      <c r="E14" s="218">
        <f t="shared" si="0"/>
        <v>245724</v>
      </c>
      <c r="F14" s="60" t="s">
        <v>166</v>
      </c>
      <c r="G14" s="61">
        <v>10152</v>
      </c>
      <c r="H14" s="61"/>
      <c r="I14" s="61">
        <v>175</v>
      </c>
      <c r="J14" s="61"/>
      <c r="K14" s="61">
        <v>10150</v>
      </c>
      <c r="L14" s="61"/>
      <c r="M14" s="61"/>
      <c r="N14" s="61"/>
      <c r="O14" s="61"/>
      <c r="P14" s="62"/>
      <c r="Q14" s="61"/>
      <c r="R14" s="61"/>
      <c r="S14" s="213"/>
      <c r="T14" s="219">
        <f t="shared" si="1"/>
        <v>20477</v>
      </c>
    </row>
    <row r="15" spans="1:20">
      <c r="A15" s="58" t="s">
        <v>42</v>
      </c>
      <c r="B15" s="72">
        <v>11</v>
      </c>
      <c r="C15" s="63">
        <v>1159</v>
      </c>
      <c r="D15" s="212">
        <v>12</v>
      </c>
      <c r="E15" s="218">
        <f t="shared" si="0"/>
        <v>587688</v>
      </c>
      <c r="F15" s="60" t="s">
        <v>166</v>
      </c>
      <c r="G15" s="61">
        <v>12749</v>
      </c>
      <c r="H15" s="61"/>
      <c r="I15" s="61">
        <v>575</v>
      </c>
      <c r="J15" s="61"/>
      <c r="K15" s="61">
        <v>35650</v>
      </c>
      <c r="L15" s="61"/>
      <c r="M15" s="61"/>
      <c r="N15" s="61"/>
      <c r="O15" s="61"/>
      <c r="P15" s="62"/>
      <c r="Q15" s="61"/>
      <c r="R15" s="61"/>
      <c r="S15" s="213"/>
      <c r="T15" s="219">
        <f t="shared" si="1"/>
        <v>48974</v>
      </c>
    </row>
    <row r="16" spans="1:20">
      <c r="A16" s="58" t="s">
        <v>182</v>
      </c>
      <c r="B16" s="72">
        <v>5</v>
      </c>
      <c r="C16" s="63">
        <v>1192</v>
      </c>
      <c r="D16" s="212">
        <v>12</v>
      </c>
      <c r="E16" s="218">
        <f t="shared" si="0"/>
        <v>273120</v>
      </c>
      <c r="F16" s="60" t="s">
        <v>166</v>
      </c>
      <c r="G16" s="61">
        <v>5960</v>
      </c>
      <c r="H16" s="61"/>
      <c r="I16" s="61">
        <v>300</v>
      </c>
      <c r="J16" s="61"/>
      <c r="K16" s="61">
        <v>16500</v>
      </c>
      <c r="L16" s="61"/>
      <c r="M16" s="61"/>
      <c r="N16" s="61"/>
      <c r="O16" s="61"/>
      <c r="P16" s="62"/>
      <c r="Q16" s="61"/>
      <c r="R16" s="61"/>
      <c r="S16" s="213"/>
      <c r="T16" s="219">
        <f t="shared" si="1"/>
        <v>22760</v>
      </c>
    </row>
    <row r="17" spans="1:20">
      <c r="A17" s="58" t="s">
        <v>183</v>
      </c>
      <c r="B17" s="72">
        <v>1</v>
      </c>
      <c r="C17" s="63">
        <v>3295</v>
      </c>
      <c r="D17" s="212">
        <v>12</v>
      </c>
      <c r="E17" s="218">
        <f t="shared" si="0"/>
        <v>85440</v>
      </c>
      <c r="F17" s="60" t="s">
        <v>166</v>
      </c>
      <c r="G17" s="61">
        <v>3295</v>
      </c>
      <c r="H17" s="61"/>
      <c r="I17" s="61">
        <v>0</v>
      </c>
      <c r="J17" s="61">
        <v>375</v>
      </c>
      <c r="K17" s="61">
        <v>3450</v>
      </c>
      <c r="L17" s="61"/>
      <c r="M17" s="61"/>
      <c r="N17" s="61"/>
      <c r="O17" s="61"/>
      <c r="P17" s="62"/>
      <c r="Q17" s="61"/>
      <c r="R17" s="61"/>
      <c r="S17" s="213"/>
      <c r="T17" s="219">
        <f t="shared" si="1"/>
        <v>7120</v>
      </c>
    </row>
    <row r="18" spans="1:20">
      <c r="A18" s="58" t="s">
        <v>184</v>
      </c>
      <c r="B18" s="72">
        <v>2</v>
      </c>
      <c r="C18" s="63">
        <v>1286</v>
      </c>
      <c r="D18" s="212">
        <v>12</v>
      </c>
      <c r="E18" s="218">
        <f t="shared" si="0"/>
        <v>109164</v>
      </c>
      <c r="F18" s="60" t="s">
        <v>166</v>
      </c>
      <c r="G18" s="61">
        <v>2572</v>
      </c>
      <c r="H18" s="61"/>
      <c r="I18" s="61">
        <v>125</v>
      </c>
      <c r="J18" s="61"/>
      <c r="K18" s="61">
        <v>6400</v>
      </c>
      <c r="L18" s="61"/>
      <c r="M18" s="61"/>
      <c r="N18" s="61"/>
      <c r="O18" s="61"/>
      <c r="P18" s="62"/>
      <c r="Q18" s="61"/>
      <c r="R18" s="61"/>
      <c r="S18" s="213"/>
      <c r="T18" s="219">
        <f t="shared" si="1"/>
        <v>9097</v>
      </c>
    </row>
    <row r="19" spans="1:20">
      <c r="A19" s="58" t="s">
        <v>185</v>
      </c>
      <c r="B19" s="72">
        <v>1</v>
      </c>
      <c r="C19" s="63">
        <v>1381</v>
      </c>
      <c r="D19" s="212">
        <v>12</v>
      </c>
      <c r="E19" s="218">
        <f t="shared" si="0"/>
        <v>58872</v>
      </c>
      <c r="F19" s="60" t="s">
        <v>166</v>
      </c>
      <c r="G19" s="61">
        <v>1381</v>
      </c>
      <c r="H19" s="61"/>
      <c r="I19" s="61">
        <v>75</v>
      </c>
      <c r="J19" s="61"/>
      <c r="K19" s="61">
        <v>3450</v>
      </c>
      <c r="L19" s="61"/>
      <c r="M19" s="61"/>
      <c r="N19" s="61"/>
      <c r="O19" s="61"/>
      <c r="P19" s="62"/>
      <c r="Q19" s="61"/>
      <c r="R19" s="61"/>
      <c r="S19" s="213"/>
      <c r="T19" s="219">
        <f t="shared" si="1"/>
        <v>4906</v>
      </c>
    </row>
    <row r="20" spans="1:20">
      <c r="A20" s="58" t="s">
        <v>87</v>
      </c>
      <c r="B20" s="72">
        <v>1</v>
      </c>
      <c r="C20" s="63">
        <v>1460</v>
      </c>
      <c r="D20" s="212">
        <v>12</v>
      </c>
      <c r="E20" s="218">
        <f t="shared" si="0"/>
        <v>55920</v>
      </c>
      <c r="F20" s="60" t="s">
        <v>166</v>
      </c>
      <c r="G20" s="61">
        <v>1460</v>
      </c>
      <c r="H20" s="61"/>
      <c r="I20" s="61">
        <v>0</v>
      </c>
      <c r="J20" s="61"/>
      <c r="K20" s="61">
        <v>3200</v>
      </c>
      <c r="L20" s="61"/>
      <c r="M20" s="61"/>
      <c r="N20" s="61"/>
      <c r="O20" s="61"/>
      <c r="P20" s="62"/>
      <c r="Q20" s="61"/>
      <c r="R20" s="61"/>
      <c r="S20" s="213"/>
      <c r="T20" s="219">
        <f t="shared" si="1"/>
        <v>4660</v>
      </c>
    </row>
    <row r="21" spans="1:20">
      <c r="A21" s="58" t="s">
        <v>186</v>
      </c>
      <c r="B21" s="72">
        <v>1</v>
      </c>
      <c r="C21" s="63">
        <v>1192</v>
      </c>
      <c r="D21" s="212">
        <v>12</v>
      </c>
      <c r="E21" s="218">
        <f t="shared" si="0"/>
        <v>53604</v>
      </c>
      <c r="F21" s="60" t="s">
        <v>166</v>
      </c>
      <c r="G21" s="61">
        <v>1192</v>
      </c>
      <c r="H21" s="61"/>
      <c r="I21" s="61">
        <v>75</v>
      </c>
      <c r="J21" s="61"/>
      <c r="K21" s="61">
        <v>3200</v>
      </c>
      <c r="L21" s="61"/>
      <c r="M21" s="61"/>
      <c r="N21" s="61"/>
      <c r="O21" s="61"/>
      <c r="P21" s="62"/>
      <c r="Q21" s="61"/>
      <c r="R21" s="61"/>
      <c r="S21" s="213"/>
      <c r="T21" s="219">
        <f t="shared" si="1"/>
        <v>4467</v>
      </c>
    </row>
    <row r="22" spans="1:20">
      <c r="A22" s="58" t="s">
        <v>46</v>
      </c>
      <c r="B22" s="72">
        <v>3</v>
      </c>
      <c r="C22" s="63">
        <v>1302</v>
      </c>
      <c r="D22" s="212">
        <v>12</v>
      </c>
      <c r="E22" s="218">
        <f t="shared" si="0"/>
        <v>176592</v>
      </c>
      <c r="F22" s="60" t="s">
        <v>166</v>
      </c>
      <c r="G22" s="61">
        <v>3906</v>
      </c>
      <c r="H22" s="61"/>
      <c r="I22" s="61">
        <v>160</v>
      </c>
      <c r="J22" s="61"/>
      <c r="K22" s="61">
        <v>10650</v>
      </c>
      <c r="L22" s="61"/>
      <c r="M22" s="61"/>
      <c r="N22" s="61"/>
      <c r="O22" s="61"/>
      <c r="P22" s="62"/>
      <c r="Q22" s="61"/>
      <c r="R22" s="61"/>
      <c r="S22" s="213"/>
      <c r="T22" s="219">
        <f t="shared" si="1"/>
        <v>14716</v>
      </c>
    </row>
    <row r="23" spans="1:20">
      <c r="A23" s="58" t="s">
        <v>47</v>
      </c>
      <c r="B23" s="72">
        <v>2</v>
      </c>
      <c r="C23" s="63">
        <v>1381</v>
      </c>
      <c r="D23" s="212">
        <v>12</v>
      </c>
      <c r="E23" s="218">
        <f t="shared" si="0"/>
        <v>120564</v>
      </c>
      <c r="F23" s="60" t="s">
        <v>166</v>
      </c>
      <c r="G23" s="61">
        <v>2762</v>
      </c>
      <c r="H23" s="61"/>
      <c r="I23" s="61">
        <v>85</v>
      </c>
      <c r="J23" s="61"/>
      <c r="K23" s="61">
        <v>7200</v>
      </c>
      <c r="L23" s="61"/>
      <c r="M23" s="61"/>
      <c r="N23" s="61"/>
      <c r="O23" s="61"/>
      <c r="P23" s="62"/>
      <c r="Q23" s="61"/>
      <c r="R23" s="61"/>
      <c r="S23" s="213"/>
      <c r="T23" s="219">
        <f t="shared" si="1"/>
        <v>10047</v>
      </c>
    </row>
    <row r="24" spans="1:20">
      <c r="A24" s="58" t="s">
        <v>39</v>
      </c>
      <c r="B24" s="72">
        <v>4</v>
      </c>
      <c r="C24" s="63">
        <v>1460</v>
      </c>
      <c r="D24" s="212">
        <v>12</v>
      </c>
      <c r="E24" s="218">
        <f t="shared" si="0"/>
        <v>249780</v>
      </c>
      <c r="F24" s="60" t="s">
        <v>166</v>
      </c>
      <c r="G24" s="61">
        <v>5840</v>
      </c>
      <c r="H24" s="61"/>
      <c r="I24" s="61">
        <v>275</v>
      </c>
      <c r="J24" s="61"/>
      <c r="K24" s="61">
        <v>14700</v>
      </c>
      <c r="L24" s="61"/>
      <c r="M24" s="61"/>
      <c r="N24" s="61"/>
      <c r="O24" s="61"/>
      <c r="P24" s="62"/>
      <c r="Q24" s="61"/>
      <c r="R24" s="61"/>
      <c r="S24" s="213"/>
      <c r="T24" s="219">
        <f t="shared" si="1"/>
        <v>20815</v>
      </c>
    </row>
    <row r="25" spans="1:20">
      <c r="A25" s="58" t="s">
        <v>187</v>
      </c>
      <c r="B25" s="72">
        <v>1</v>
      </c>
      <c r="C25" s="63">
        <v>1701</v>
      </c>
      <c r="D25" s="212">
        <v>12</v>
      </c>
      <c r="E25" s="218">
        <f t="shared" si="0"/>
        <v>62412</v>
      </c>
      <c r="F25" s="60" t="s">
        <v>166</v>
      </c>
      <c r="G25" s="61">
        <v>1701</v>
      </c>
      <c r="H25" s="61"/>
      <c r="I25" s="61">
        <v>50</v>
      </c>
      <c r="J25" s="61"/>
      <c r="K25" s="61">
        <v>3450</v>
      </c>
      <c r="L25" s="61"/>
      <c r="M25" s="61"/>
      <c r="N25" s="61"/>
      <c r="O25" s="61"/>
      <c r="P25" s="62"/>
      <c r="Q25" s="61"/>
      <c r="R25" s="61"/>
      <c r="S25" s="213"/>
      <c r="T25" s="219">
        <f t="shared" si="1"/>
        <v>5201</v>
      </c>
    </row>
    <row r="26" spans="1:20">
      <c r="A26" s="58" t="s">
        <v>40</v>
      </c>
      <c r="B26" s="72">
        <v>6</v>
      </c>
      <c r="C26" s="63">
        <v>1831</v>
      </c>
      <c r="D26" s="212">
        <v>12</v>
      </c>
      <c r="E26" s="218">
        <f t="shared" si="0"/>
        <v>398832</v>
      </c>
      <c r="F26" s="60" t="s">
        <v>166</v>
      </c>
      <c r="G26" s="61">
        <v>10986</v>
      </c>
      <c r="H26" s="61"/>
      <c r="I26" s="61">
        <v>350</v>
      </c>
      <c r="J26" s="61"/>
      <c r="K26" s="61">
        <v>21900</v>
      </c>
      <c r="L26" s="61"/>
      <c r="M26" s="61"/>
      <c r="N26" s="61"/>
      <c r="O26" s="61"/>
      <c r="P26" s="62"/>
      <c r="Q26" s="61"/>
      <c r="R26" s="61"/>
      <c r="S26" s="213"/>
      <c r="T26" s="219">
        <f t="shared" si="1"/>
        <v>33236</v>
      </c>
    </row>
    <row r="27" spans="1:20">
      <c r="A27" s="58" t="s">
        <v>188</v>
      </c>
      <c r="B27" s="72">
        <v>13</v>
      </c>
      <c r="C27" s="63">
        <v>1105</v>
      </c>
      <c r="D27" s="212">
        <v>12</v>
      </c>
      <c r="E27" s="218">
        <f t="shared" si="0"/>
        <v>679380</v>
      </c>
      <c r="F27" s="60" t="s">
        <v>166</v>
      </c>
      <c r="G27" s="61">
        <v>14365</v>
      </c>
      <c r="H27" s="61"/>
      <c r="I27" s="61">
        <v>700</v>
      </c>
      <c r="J27" s="61"/>
      <c r="K27" s="61">
        <v>41550</v>
      </c>
      <c r="L27" s="61"/>
      <c r="M27" s="61"/>
      <c r="N27" s="61"/>
      <c r="O27" s="61"/>
      <c r="P27" s="62"/>
      <c r="Q27" s="61"/>
      <c r="R27" s="61"/>
      <c r="S27" s="213"/>
      <c r="T27" s="219">
        <f t="shared" si="1"/>
        <v>56615</v>
      </c>
    </row>
    <row r="28" spans="1:20">
      <c r="A28" s="58" t="s">
        <v>189</v>
      </c>
      <c r="B28" s="72">
        <v>1</v>
      </c>
      <c r="C28" s="63">
        <v>1135</v>
      </c>
      <c r="D28" s="212">
        <v>12</v>
      </c>
      <c r="E28" s="218">
        <f t="shared" si="0"/>
        <v>50820</v>
      </c>
      <c r="F28" s="60" t="s">
        <v>166</v>
      </c>
      <c r="G28" s="61">
        <v>1135</v>
      </c>
      <c r="H28" s="61"/>
      <c r="I28" s="61">
        <v>50</v>
      </c>
      <c r="J28" s="61"/>
      <c r="K28" s="61">
        <v>3050</v>
      </c>
      <c r="L28" s="61"/>
      <c r="M28" s="61"/>
      <c r="N28" s="61"/>
      <c r="O28" s="61"/>
      <c r="P28" s="62"/>
      <c r="Q28" s="61"/>
      <c r="R28" s="61"/>
      <c r="S28" s="213"/>
      <c r="T28" s="219">
        <f t="shared" si="1"/>
        <v>4235</v>
      </c>
    </row>
    <row r="29" spans="1:20">
      <c r="A29" s="58" t="s">
        <v>190</v>
      </c>
      <c r="B29" s="72">
        <v>77</v>
      </c>
      <c r="C29" s="63">
        <v>1039</v>
      </c>
      <c r="D29" s="212">
        <v>12</v>
      </c>
      <c r="E29" s="218">
        <f t="shared" si="0"/>
        <v>3905352</v>
      </c>
      <c r="F29" s="60" t="s">
        <v>166</v>
      </c>
      <c r="G29" s="61">
        <v>80003</v>
      </c>
      <c r="H29" s="61">
        <v>13</v>
      </c>
      <c r="I29" s="61">
        <v>3530</v>
      </c>
      <c r="J29" s="61"/>
      <c r="K29" s="61">
        <v>241900</v>
      </c>
      <c r="L29" s="61"/>
      <c r="M29" s="61"/>
      <c r="N29" s="61"/>
      <c r="O29" s="61"/>
      <c r="P29" s="62"/>
      <c r="Q29" s="61"/>
      <c r="R29" s="61"/>
      <c r="S29" s="213"/>
      <c r="T29" s="219">
        <f t="shared" si="1"/>
        <v>325446</v>
      </c>
    </row>
    <row r="30" spans="1:20">
      <c r="A30" s="58" t="s">
        <v>191</v>
      </c>
      <c r="B30" s="72">
        <v>41</v>
      </c>
      <c r="C30" s="63">
        <v>1074</v>
      </c>
      <c r="D30" s="212">
        <v>12</v>
      </c>
      <c r="E30" s="218">
        <f t="shared" si="0"/>
        <v>2115168</v>
      </c>
      <c r="F30" s="60" t="s">
        <v>166</v>
      </c>
      <c r="G30" s="61">
        <v>44034</v>
      </c>
      <c r="H30" s="61">
        <v>20</v>
      </c>
      <c r="I30" s="61">
        <v>1860</v>
      </c>
      <c r="J30" s="61"/>
      <c r="K30" s="61">
        <v>130350</v>
      </c>
      <c r="L30" s="61"/>
      <c r="M30" s="61"/>
      <c r="N30" s="61"/>
      <c r="O30" s="61"/>
      <c r="P30" s="62"/>
      <c r="Q30" s="61"/>
      <c r="R30" s="61"/>
      <c r="S30" s="213"/>
      <c r="T30" s="219">
        <f t="shared" si="1"/>
        <v>176264</v>
      </c>
    </row>
    <row r="31" spans="1:20">
      <c r="A31" s="58" t="s">
        <v>192</v>
      </c>
      <c r="B31" s="72">
        <v>5</v>
      </c>
      <c r="C31" s="63">
        <v>1105</v>
      </c>
      <c r="D31" s="212">
        <v>12</v>
      </c>
      <c r="E31" s="218">
        <f t="shared" si="0"/>
        <v>270300</v>
      </c>
      <c r="F31" s="60" t="s">
        <v>166</v>
      </c>
      <c r="G31" s="61">
        <v>5525</v>
      </c>
      <c r="H31" s="61"/>
      <c r="I31" s="61">
        <v>250</v>
      </c>
      <c r="J31" s="61"/>
      <c r="K31" s="61">
        <v>16750</v>
      </c>
      <c r="L31" s="61"/>
      <c r="M31" s="61"/>
      <c r="N31" s="61"/>
      <c r="O31" s="61"/>
      <c r="P31" s="62"/>
      <c r="Q31" s="61"/>
      <c r="R31" s="61"/>
      <c r="S31" s="213"/>
      <c r="T31" s="219">
        <f t="shared" si="1"/>
        <v>22525</v>
      </c>
    </row>
    <row r="32" spans="1:20">
      <c r="A32" s="58" t="s">
        <v>193</v>
      </c>
      <c r="B32" s="72">
        <v>3</v>
      </c>
      <c r="C32" s="63">
        <v>1135</v>
      </c>
      <c r="D32" s="212">
        <v>12</v>
      </c>
      <c r="E32" s="218">
        <f t="shared" si="0"/>
        <v>165060</v>
      </c>
      <c r="F32" s="60" t="s">
        <v>166</v>
      </c>
      <c r="G32" s="61">
        <v>3405</v>
      </c>
      <c r="H32" s="61"/>
      <c r="I32" s="61">
        <v>100</v>
      </c>
      <c r="J32" s="61"/>
      <c r="K32" s="61">
        <v>10250</v>
      </c>
      <c r="L32" s="61"/>
      <c r="M32" s="61"/>
      <c r="N32" s="61"/>
      <c r="O32" s="61"/>
      <c r="P32" s="62"/>
      <c r="Q32" s="61"/>
      <c r="R32" s="61"/>
      <c r="S32" s="213"/>
      <c r="T32" s="219">
        <f t="shared" si="1"/>
        <v>13755</v>
      </c>
    </row>
    <row r="33" spans="1:20">
      <c r="A33" s="58" t="s">
        <v>194</v>
      </c>
      <c r="B33" s="72">
        <v>1</v>
      </c>
      <c r="C33" s="63"/>
      <c r="D33" s="212">
        <v>12</v>
      </c>
      <c r="E33" s="218">
        <f t="shared" si="0"/>
        <v>193500</v>
      </c>
      <c r="F33" s="60" t="s">
        <v>166</v>
      </c>
      <c r="G33" s="61"/>
      <c r="H33" s="61"/>
      <c r="I33" s="61"/>
      <c r="J33" s="61"/>
      <c r="K33" s="61"/>
      <c r="L33" s="61">
        <v>10000</v>
      </c>
      <c r="M33" s="61"/>
      <c r="N33" s="61">
        <v>375</v>
      </c>
      <c r="O33" s="61">
        <v>5750</v>
      </c>
      <c r="P33" s="62"/>
      <c r="Q33" s="61"/>
      <c r="R33" s="61"/>
      <c r="S33" s="213"/>
      <c r="T33" s="219">
        <f t="shared" si="1"/>
        <v>16125</v>
      </c>
    </row>
    <row r="34" spans="1:20">
      <c r="A34" s="58" t="s">
        <v>195</v>
      </c>
      <c r="B34" s="73">
        <v>1</v>
      </c>
      <c r="C34" s="63"/>
      <c r="D34" s="212">
        <v>12</v>
      </c>
      <c r="E34" s="218">
        <f t="shared" si="0"/>
        <v>128760</v>
      </c>
      <c r="F34" s="60" t="s">
        <v>166</v>
      </c>
      <c r="G34" s="61"/>
      <c r="H34" s="61"/>
      <c r="I34" s="61"/>
      <c r="J34" s="61"/>
      <c r="K34" s="61"/>
      <c r="L34" s="61">
        <v>6000</v>
      </c>
      <c r="M34" s="61"/>
      <c r="N34" s="61"/>
      <c r="O34" s="61">
        <v>4730</v>
      </c>
      <c r="P34" s="62"/>
      <c r="Q34" s="61"/>
      <c r="R34" s="61"/>
      <c r="S34" s="213"/>
      <c r="T34" s="219">
        <f t="shared" si="1"/>
        <v>10730</v>
      </c>
    </row>
    <row r="35" spans="1:20">
      <c r="A35" s="58" t="s">
        <v>196</v>
      </c>
      <c r="B35" s="73">
        <v>1</v>
      </c>
      <c r="C35" s="63"/>
      <c r="D35" s="212">
        <v>12</v>
      </c>
      <c r="E35" s="218">
        <f t="shared" si="0"/>
        <v>277500</v>
      </c>
      <c r="F35" s="60" t="s">
        <v>166</v>
      </c>
      <c r="G35" s="61"/>
      <c r="H35" s="61"/>
      <c r="I35" s="61"/>
      <c r="J35" s="61"/>
      <c r="K35" s="61"/>
      <c r="L35" s="61">
        <v>17000</v>
      </c>
      <c r="M35" s="61"/>
      <c r="N35" s="61">
        <v>375</v>
      </c>
      <c r="O35" s="61">
        <v>5750</v>
      </c>
      <c r="P35" s="62"/>
      <c r="Q35" s="61"/>
      <c r="R35" s="61"/>
      <c r="S35" s="213"/>
      <c r="T35" s="219">
        <f t="shared" si="1"/>
        <v>23125</v>
      </c>
    </row>
    <row r="36" spans="1:20">
      <c r="A36" s="58" t="s">
        <v>197</v>
      </c>
      <c r="B36" s="73">
        <v>1</v>
      </c>
      <c r="C36" s="63"/>
      <c r="D36" s="212">
        <v>12</v>
      </c>
      <c r="E36" s="218">
        <f t="shared" si="0"/>
        <v>211500</v>
      </c>
      <c r="F36" s="60" t="s">
        <v>166</v>
      </c>
      <c r="G36" s="61"/>
      <c r="H36" s="61"/>
      <c r="I36" s="61"/>
      <c r="J36" s="61"/>
      <c r="K36" s="61"/>
      <c r="L36" s="61">
        <v>11500</v>
      </c>
      <c r="M36" s="61"/>
      <c r="N36" s="61">
        <v>375</v>
      </c>
      <c r="O36" s="61">
        <v>5750</v>
      </c>
      <c r="P36" s="62"/>
      <c r="Q36" s="61"/>
      <c r="R36" s="61"/>
      <c r="S36" s="213"/>
      <c r="T36" s="219">
        <f t="shared" si="1"/>
        <v>17625</v>
      </c>
    </row>
    <row r="37" spans="1:20">
      <c r="A37" s="58" t="s">
        <v>198</v>
      </c>
      <c r="B37" s="73">
        <v>1</v>
      </c>
      <c r="C37" s="63"/>
      <c r="D37" s="212">
        <v>12</v>
      </c>
      <c r="E37" s="218">
        <f t="shared" si="0"/>
        <v>102600</v>
      </c>
      <c r="F37" s="60" t="s">
        <v>166</v>
      </c>
      <c r="G37" s="61"/>
      <c r="H37" s="61"/>
      <c r="I37" s="61"/>
      <c r="J37" s="61"/>
      <c r="K37" s="61"/>
      <c r="L37" s="61">
        <v>3300</v>
      </c>
      <c r="M37" s="61"/>
      <c r="N37" s="61"/>
      <c r="O37" s="61">
        <v>5250</v>
      </c>
      <c r="P37" s="62"/>
      <c r="Q37" s="61"/>
      <c r="R37" s="61"/>
      <c r="S37" s="213"/>
      <c r="T37" s="219">
        <f t="shared" si="1"/>
        <v>8550</v>
      </c>
    </row>
    <row r="38" spans="1:20">
      <c r="A38" s="58" t="s">
        <v>199</v>
      </c>
      <c r="B38" s="73">
        <v>1</v>
      </c>
      <c r="C38" s="63"/>
      <c r="D38" s="212">
        <v>12</v>
      </c>
      <c r="E38" s="218">
        <f t="shared" si="0"/>
        <v>169800</v>
      </c>
      <c r="F38" s="60" t="s">
        <v>166</v>
      </c>
      <c r="G38" s="61"/>
      <c r="H38" s="61"/>
      <c r="I38" s="61"/>
      <c r="J38" s="61"/>
      <c r="K38" s="61"/>
      <c r="L38" s="61">
        <v>7900</v>
      </c>
      <c r="M38" s="61"/>
      <c r="N38" s="61"/>
      <c r="O38" s="61">
        <v>6250</v>
      </c>
      <c r="P38" s="62"/>
      <c r="Q38" s="61"/>
      <c r="R38" s="61"/>
      <c r="S38" s="213"/>
      <c r="T38" s="219">
        <f t="shared" si="1"/>
        <v>14150</v>
      </c>
    </row>
    <row r="39" spans="1:20">
      <c r="A39" s="58" t="s">
        <v>64</v>
      </c>
      <c r="B39" s="73">
        <v>1</v>
      </c>
      <c r="C39" s="63"/>
      <c r="D39" s="212">
        <v>12</v>
      </c>
      <c r="E39" s="218">
        <f t="shared" si="0"/>
        <v>163800</v>
      </c>
      <c r="F39" s="60" t="s">
        <v>166</v>
      </c>
      <c r="G39" s="61"/>
      <c r="H39" s="61"/>
      <c r="I39" s="61"/>
      <c r="J39" s="61"/>
      <c r="K39" s="61"/>
      <c r="L39" s="61">
        <v>7900</v>
      </c>
      <c r="M39" s="61"/>
      <c r="N39" s="61"/>
      <c r="O39" s="61">
        <v>5750</v>
      </c>
      <c r="P39" s="62"/>
      <c r="Q39" s="61"/>
      <c r="R39" s="61"/>
      <c r="S39" s="213"/>
      <c r="T39" s="219">
        <f t="shared" si="1"/>
        <v>13650</v>
      </c>
    </row>
    <row r="40" spans="1:20">
      <c r="A40" s="58" t="s">
        <v>200</v>
      </c>
      <c r="B40" s="73">
        <v>1</v>
      </c>
      <c r="C40" s="63"/>
      <c r="D40" s="212">
        <v>12</v>
      </c>
      <c r="E40" s="218">
        <f t="shared" si="0"/>
        <v>174600</v>
      </c>
      <c r="F40" s="60" t="s">
        <v>166</v>
      </c>
      <c r="G40" s="61"/>
      <c r="H40" s="61"/>
      <c r="I40" s="61"/>
      <c r="J40" s="61"/>
      <c r="K40" s="61"/>
      <c r="L40" s="61">
        <v>8800</v>
      </c>
      <c r="M40" s="61"/>
      <c r="N40" s="61"/>
      <c r="O40" s="61">
        <v>5750</v>
      </c>
      <c r="P40" s="62"/>
      <c r="Q40" s="61"/>
      <c r="R40" s="61"/>
      <c r="S40" s="213"/>
      <c r="T40" s="219">
        <f t="shared" si="1"/>
        <v>14550</v>
      </c>
    </row>
    <row r="41" spans="1:20">
      <c r="A41" s="58" t="s">
        <v>201</v>
      </c>
      <c r="B41" s="73">
        <v>1</v>
      </c>
      <c r="C41" s="63"/>
      <c r="D41" s="212">
        <v>12</v>
      </c>
      <c r="E41" s="218">
        <f t="shared" si="0"/>
        <v>117900</v>
      </c>
      <c r="F41" s="60" t="s">
        <v>166</v>
      </c>
      <c r="G41" s="61"/>
      <c r="H41" s="61"/>
      <c r="I41" s="61"/>
      <c r="J41" s="61"/>
      <c r="K41" s="61"/>
      <c r="L41" s="61">
        <v>4000</v>
      </c>
      <c r="M41" s="61"/>
      <c r="N41" s="61">
        <v>375</v>
      </c>
      <c r="O41" s="61">
        <v>5450</v>
      </c>
      <c r="P41" s="62"/>
      <c r="Q41" s="61"/>
      <c r="R41" s="61"/>
      <c r="S41" s="213"/>
      <c r="T41" s="219">
        <f t="shared" si="1"/>
        <v>9825</v>
      </c>
    </row>
    <row r="42" spans="1:20">
      <c r="A42" s="58" t="s">
        <v>59</v>
      </c>
      <c r="B42" s="73">
        <v>1</v>
      </c>
      <c r="C42" s="63">
        <v>25000</v>
      </c>
      <c r="D42" s="212">
        <v>12</v>
      </c>
      <c r="E42" s="218">
        <f t="shared" si="0"/>
        <v>357000</v>
      </c>
      <c r="F42" s="60" t="s">
        <v>166</v>
      </c>
      <c r="G42" s="61"/>
      <c r="H42" s="61"/>
      <c r="I42" s="61"/>
      <c r="J42" s="61"/>
      <c r="K42" s="61"/>
      <c r="L42" s="61"/>
      <c r="M42" s="61">
        <v>25000</v>
      </c>
      <c r="N42" s="61"/>
      <c r="O42" s="61">
        <v>4750</v>
      </c>
      <c r="P42" s="62"/>
      <c r="Q42" s="61"/>
      <c r="R42" s="61"/>
      <c r="S42" s="213"/>
      <c r="T42" s="219">
        <f t="shared" si="1"/>
        <v>29750</v>
      </c>
    </row>
    <row r="43" spans="1:20">
      <c r="A43" s="58" t="s">
        <v>59</v>
      </c>
      <c r="B43" s="73">
        <v>1</v>
      </c>
      <c r="C43" s="63">
        <v>18500</v>
      </c>
      <c r="D43" s="212">
        <v>12</v>
      </c>
      <c r="E43" s="218">
        <f t="shared" si="0"/>
        <v>267000</v>
      </c>
      <c r="F43" s="60" t="s">
        <v>166</v>
      </c>
      <c r="G43" s="61"/>
      <c r="H43" s="61"/>
      <c r="I43" s="61"/>
      <c r="J43" s="61"/>
      <c r="K43" s="61"/>
      <c r="L43" s="61"/>
      <c r="M43" s="61">
        <v>18500</v>
      </c>
      <c r="N43" s="61"/>
      <c r="O43" s="61">
        <v>3750</v>
      </c>
      <c r="P43" s="62"/>
      <c r="Q43" s="61"/>
      <c r="R43" s="61"/>
      <c r="S43" s="213"/>
      <c r="T43" s="219">
        <f t="shared" si="1"/>
        <v>22250</v>
      </c>
    </row>
    <row r="44" spans="1:20">
      <c r="A44" s="58" t="s">
        <v>59</v>
      </c>
      <c r="B44" s="73">
        <v>1</v>
      </c>
      <c r="C44" s="63">
        <v>18000</v>
      </c>
      <c r="D44" s="212">
        <v>12</v>
      </c>
      <c r="E44" s="218">
        <f t="shared" si="0"/>
        <v>265500</v>
      </c>
      <c r="F44" s="60" t="s">
        <v>166</v>
      </c>
      <c r="G44" s="61"/>
      <c r="H44" s="61"/>
      <c r="I44" s="61"/>
      <c r="J44" s="61"/>
      <c r="K44" s="61"/>
      <c r="L44" s="61"/>
      <c r="M44" s="61">
        <v>18000</v>
      </c>
      <c r="N44" s="61">
        <v>375</v>
      </c>
      <c r="O44" s="61">
        <v>3750</v>
      </c>
      <c r="P44" s="62"/>
      <c r="Q44" s="61"/>
      <c r="R44" s="61"/>
      <c r="S44" s="213"/>
      <c r="T44" s="219">
        <f t="shared" si="1"/>
        <v>22125</v>
      </c>
    </row>
    <row r="45" spans="1:20">
      <c r="A45" s="58" t="s">
        <v>59</v>
      </c>
      <c r="B45" s="73">
        <v>1</v>
      </c>
      <c r="C45" s="63">
        <v>19950</v>
      </c>
      <c r="D45" s="212">
        <v>12</v>
      </c>
      <c r="E45" s="218">
        <f t="shared" si="0"/>
        <v>284400</v>
      </c>
      <c r="F45" s="60" t="s">
        <v>166</v>
      </c>
      <c r="G45" s="61"/>
      <c r="H45" s="61"/>
      <c r="I45" s="61"/>
      <c r="J45" s="61"/>
      <c r="K45" s="61"/>
      <c r="L45" s="61"/>
      <c r="M45" s="61">
        <v>19950</v>
      </c>
      <c r="N45" s="61"/>
      <c r="O45" s="61">
        <v>3750</v>
      </c>
      <c r="P45" s="62"/>
      <c r="Q45" s="61"/>
      <c r="R45" s="61"/>
      <c r="S45" s="213"/>
      <c r="T45" s="219">
        <f t="shared" si="1"/>
        <v>23700</v>
      </c>
    </row>
    <row r="46" spans="1:20">
      <c r="A46" s="58" t="s">
        <v>59</v>
      </c>
      <c r="B46" s="73">
        <v>1</v>
      </c>
      <c r="C46" s="63">
        <v>19950</v>
      </c>
      <c r="D46" s="212">
        <v>12</v>
      </c>
      <c r="E46" s="218">
        <f t="shared" si="0"/>
        <v>288900</v>
      </c>
      <c r="F46" s="60" t="s">
        <v>166</v>
      </c>
      <c r="G46" s="61"/>
      <c r="H46" s="61"/>
      <c r="I46" s="61"/>
      <c r="J46" s="61"/>
      <c r="K46" s="61"/>
      <c r="L46" s="61"/>
      <c r="M46" s="61">
        <v>19950</v>
      </c>
      <c r="N46" s="61">
        <v>375</v>
      </c>
      <c r="O46" s="61">
        <v>3750</v>
      </c>
      <c r="P46" s="62"/>
      <c r="Q46" s="61"/>
      <c r="R46" s="61"/>
      <c r="S46" s="213"/>
      <c r="T46" s="219">
        <f t="shared" si="1"/>
        <v>24075</v>
      </c>
    </row>
    <row r="47" spans="1:20">
      <c r="A47" s="58" t="s">
        <v>59</v>
      </c>
      <c r="B47" s="73">
        <v>1</v>
      </c>
      <c r="C47" s="63">
        <v>19950</v>
      </c>
      <c r="D47" s="212">
        <v>12</v>
      </c>
      <c r="E47" s="218">
        <f t="shared" si="0"/>
        <v>284400</v>
      </c>
      <c r="F47" s="60" t="s">
        <v>166</v>
      </c>
      <c r="G47" s="61"/>
      <c r="H47" s="61"/>
      <c r="I47" s="61"/>
      <c r="J47" s="61"/>
      <c r="K47" s="61"/>
      <c r="L47" s="61"/>
      <c r="M47" s="61">
        <v>19950</v>
      </c>
      <c r="N47" s="61"/>
      <c r="O47" s="61">
        <v>3750</v>
      </c>
      <c r="P47" s="62"/>
      <c r="Q47" s="61"/>
      <c r="R47" s="61"/>
      <c r="S47" s="213"/>
      <c r="T47" s="219">
        <f t="shared" si="1"/>
        <v>23700</v>
      </c>
    </row>
    <row r="48" spans="1:20">
      <c r="A48" s="58" t="s">
        <v>59</v>
      </c>
      <c r="B48" s="73">
        <v>1</v>
      </c>
      <c r="C48" s="63">
        <v>19950</v>
      </c>
      <c r="D48" s="212">
        <v>12</v>
      </c>
      <c r="E48" s="218">
        <f t="shared" si="0"/>
        <v>284400</v>
      </c>
      <c r="F48" s="60" t="s">
        <v>166</v>
      </c>
      <c r="G48" s="61"/>
      <c r="H48" s="61"/>
      <c r="I48" s="61"/>
      <c r="J48" s="61"/>
      <c r="K48" s="61"/>
      <c r="L48" s="61"/>
      <c r="M48" s="61">
        <v>19950</v>
      </c>
      <c r="N48" s="61"/>
      <c r="O48" s="61">
        <v>3750</v>
      </c>
      <c r="P48" s="62"/>
      <c r="Q48" s="61"/>
      <c r="R48" s="61"/>
      <c r="S48" s="213"/>
      <c r="T48" s="219">
        <f t="shared" si="1"/>
        <v>23700</v>
      </c>
    </row>
    <row r="49" spans="1:20">
      <c r="A49" s="58" t="s">
        <v>49</v>
      </c>
      <c r="B49" s="73">
        <v>1</v>
      </c>
      <c r="C49" s="63">
        <v>16000</v>
      </c>
      <c r="D49" s="212">
        <v>12</v>
      </c>
      <c r="E49" s="218">
        <f t="shared" si="0"/>
        <v>237000</v>
      </c>
      <c r="F49" s="60" t="s">
        <v>166</v>
      </c>
      <c r="G49" s="61"/>
      <c r="H49" s="61"/>
      <c r="I49" s="61"/>
      <c r="J49" s="61"/>
      <c r="K49" s="61"/>
      <c r="L49" s="61"/>
      <c r="M49" s="61">
        <v>16000</v>
      </c>
      <c r="N49" s="61"/>
      <c r="O49" s="61">
        <v>3750</v>
      </c>
      <c r="P49" s="62"/>
      <c r="Q49" s="61"/>
      <c r="R49" s="61"/>
      <c r="S49" s="213"/>
      <c r="T49" s="219">
        <f t="shared" si="1"/>
        <v>19750</v>
      </c>
    </row>
    <row r="50" spans="1:20">
      <c r="A50" s="58" t="s">
        <v>167</v>
      </c>
      <c r="B50" s="73">
        <v>1</v>
      </c>
      <c r="C50" s="63">
        <v>71.400000000000006</v>
      </c>
      <c r="D50" s="212">
        <v>12</v>
      </c>
      <c r="E50" s="218">
        <f t="shared" si="0"/>
        <v>62904</v>
      </c>
      <c r="F50" s="60" t="s">
        <v>166</v>
      </c>
      <c r="G50" s="61"/>
      <c r="H50" s="61"/>
      <c r="I50" s="61"/>
      <c r="J50" s="61"/>
      <c r="K50" s="61"/>
      <c r="L50" s="61"/>
      <c r="M50" s="61"/>
      <c r="N50" s="61"/>
      <c r="O50" s="61"/>
      <c r="P50" s="62"/>
      <c r="Q50" s="61">
        <v>2142</v>
      </c>
      <c r="R50" s="61">
        <v>50</v>
      </c>
      <c r="S50" s="213">
        <v>3050</v>
      </c>
      <c r="T50" s="219">
        <f t="shared" si="1"/>
        <v>5242</v>
      </c>
    </row>
    <row r="51" spans="1:20">
      <c r="A51" s="58" t="s">
        <v>168</v>
      </c>
      <c r="B51" s="73">
        <v>1</v>
      </c>
      <c r="C51" s="63">
        <v>71.400000000000006</v>
      </c>
      <c r="D51" s="212">
        <v>12</v>
      </c>
      <c r="E51" s="218">
        <f t="shared" si="0"/>
        <v>62304</v>
      </c>
      <c r="F51" s="60" t="s">
        <v>166</v>
      </c>
      <c r="G51" s="61"/>
      <c r="H51" s="61"/>
      <c r="I51" s="61"/>
      <c r="J51" s="61"/>
      <c r="K51" s="61"/>
      <c r="L51" s="61"/>
      <c r="M51" s="61"/>
      <c r="N51" s="61"/>
      <c r="O51" s="61"/>
      <c r="P51" s="62"/>
      <c r="Q51" s="61">
        <v>2142</v>
      </c>
      <c r="R51" s="61">
        <v>0</v>
      </c>
      <c r="S51" s="213">
        <v>3050</v>
      </c>
      <c r="T51" s="219">
        <f t="shared" si="1"/>
        <v>5192</v>
      </c>
    </row>
    <row r="52" spans="1:20">
      <c r="A52" s="58" t="s">
        <v>169</v>
      </c>
      <c r="B52" s="73">
        <v>1</v>
      </c>
      <c r="C52" s="63">
        <v>71.400000000000006</v>
      </c>
      <c r="D52" s="212">
        <v>12</v>
      </c>
      <c r="E52" s="218">
        <f t="shared" si="0"/>
        <v>62724</v>
      </c>
      <c r="F52" s="60" t="s">
        <v>166</v>
      </c>
      <c r="G52" s="61"/>
      <c r="H52" s="61"/>
      <c r="I52" s="61"/>
      <c r="J52" s="61"/>
      <c r="K52" s="61"/>
      <c r="L52" s="61"/>
      <c r="M52" s="61"/>
      <c r="N52" s="61"/>
      <c r="O52" s="61"/>
      <c r="P52" s="62"/>
      <c r="Q52" s="61">
        <v>2142</v>
      </c>
      <c r="R52" s="61">
        <v>35</v>
      </c>
      <c r="S52" s="213">
        <v>3050</v>
      </c>
      <c r="T52" s="219">
        <f t="shared" si="1"/>
        <v>5227</v>
      </c>
    </row>
    <row r="53" spans="1:20">
      <c r="A53" s="58" t="s">
        <v>170</v>
      </c>
      <c r="B53" s="73">
        <v>4</v>
      </c>
      <c r="C53" s="63">
        <v>71.400000000000006</v>
      </c>
      <c r="D53" s="212">
        <v>12</v>
      </c>
      <c r="E53" s="218">
        <f t="shared" si="0"/>
        <v>179304</v>
      </c>
      <c r="F53" s="60" t="s">
        <v>166</v>
      </c>
      <c r="G53" s="61"/>
      <c r="H53" s="61"/>
      <c r="I53" s="61"/>
      <c r="J53" s="61"/>
      <c r="K53" s="61"/>
      <c r="L53" s="61"/>
      <c r="M53" s="61"/>
      <c r="N53" s="61"/>
      <c r="O53" s="61"/>
      <c r="P53" s="62"/>
      <c r="Q53" s="61">
        <v>2142</v>
      </c>
      <c r="R53" s="61">
        <v>200</v>
      </c>
      <c r="S53" s="213">
        <v>12600</v>
      </c>
      <c r="T53" s="219">
        <f t="shared" si="1"/>
        <v>14942</v>
      </c>
    </row>
    <row r="54" spans="1:20">
      <c r="A54" s="58" t="s">
        <v>171</v>
      </c>
      <c r="B54" s="73">
        <v>1</v>
      </c>
      <c r="C54" s="63">
        <v>73.59</v>
      </c>
      <c r="D54" s="212">
        <v>12</v>
      </c>
      <c r="E54" s="218">
        <f t="shared" si="0"/>
        <v>63692.400000000009</v>
      </c>
      <c r="F54" s="60" t="s">
        <v>166</v>
      </c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61">
        <v>2207.7000000000003</v>
      </c>
      <c r="R54" s="61">
        <v>50</v>
      </c>
      <c r="S54" s="213">
        <v>3050</v>
      </c>
      <c r="T54" s="219">
        <f t="shared" si="1"/>
        <v>5307.7000000000007</v>
      </c>
    </row>
    <row r="55" spans="1:20">
      <c r="A55" s="58" t="s">
        <v>172</v>
      </c>
      <c r="B55" s="73">
        <v>5</v>
      </c>
      <c r="C55" s="63">
        <v>71.400000000000006</v>
      </c>
      <c r="D55" s="212">
        <v>12</v>
      </c>
      <c r="E55" s="218">
        <f t="shared" si="0"/>
        <v>210924</v>
      </c>
      <c r="F55" s="60" t="s">
        <v>166</v>
      </c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61">
        <v>2142</v>
      </c>
      <c r="R55" s="61">
        <v>185</v>
      </c>
      <c r="S55" s="213">
        <v>15250</v>
      </c>
      <c r="T55" s="219">
        <f t="shared" si="1"/>
        <v>17577</v>
      </c>
    </row>
    <row r="56" spans="1:20">
      <c r="A56" s="58" t="s">
        <v>173</v>
      </c>
      <c r="B56" s="73">
        <v>32</v>
      </c>
      <c r="C56" s="63">
        <v>71.400000000000006</v>
      </c>
      <c r="D56" s="212">
        <v>12</v>
      </c>
      <c r="E56" s="218">
        <f t="shared" si="0"/>
        <v>1228644</v>
      </c>
      <c r="F56" s="60" t="s">
        <v>166</v>
      </c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61">
        <v>2142</v>
      </c>
      <c r="R56" s="61">
        <v>1345</v>
      </c>
      <c r="S56" s="213">
        <v>98900</v>
      </c>
      <c r="T56" s="219">
        <f t="shared" si="1"/>
        <v>102387</v>
      </c>
    </row>
    <row r="57" spans="1:20">
      <c r="A57" s="58" t="s">
        <v>174</v>
      </c>
      <c r="B57" s="73">
        <v>9</v>
      </c>
      <c r="C57" s="63">
        <v>71.400000000000006</v>
      </c>
      <c r="D57" s="212">
        <v>12</v>
      </c>
      <c r="E57" s="218">
        <f t="shared" si="0"/>
        <v>361104</v>
      </c>
      <c r="F57" s="60" t="s">
        <v>166</v>
      </c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61">
        <v>2142</v>
      </c>
      <c r="R57" s="61">
        <v>500</v>
      </c>
      <c r="S57" s="213">
        <v>27450</v>
      </c>
      <c r="T57" s="219">
        <f t="shared" si="1"/>
        <v>30092</v>
      </c>
    </row>
    <row r="58" spans="1:20">
      <c r="A58" s="58" t="s">
        <v>175</v>
      </c>
      <c r="B58" s="73">
        <v>4</v>
      </c>
      <c r="C58" s="63">
        <v>71.400000000000006</v>
      </c>
      <c r="D58" s="212">
        <v>12</v>
      </c>
      <c r="E58" s="218">
        <f t="shared" si="0"/>
        <v>182304</v>
      </c>
      <c r="F58" s="60" t="s">
        <v>166</v>
      </c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61">
        <v>2142</v>
      </c>
      <c r="R58" s="61">
        <v>150</v>
      </c>
      <c r="S58" s="213">
        <v>12900</v>
      </c>
      <c r="T58" s="219">
        <f t="shared" si="1"/>
        <v>15192</v>
      </c>
    </row>
    <row r="59" spans="1:20">
      <c r="A59" s="58" t="s">
        <v>176</v>
      </c>
      <c r="B59" s="73">
        <v>1</v>
      </c>
      <c r="C59" s="63">
        <v>71.400000000000006</v>
      </c>
      <c r="D59" s="212">
        <v>12</v>
      </c>
      <c r="E59" s="218">
        <f t="shared" si="0"/>
        <v>62904</v>
      </c>
      <c r="F59" s="60" t="s">
        <v>166</v>
      </c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61">
        <v>2142</v>
      </c>
      <c r="R59" s="61">
        <v>50</v>
      </c>
      <c r="S59" s="213">
        <v>3050</v>
      </c>
      <c r="T59" s="219">
        <f t="shared" si="1"/>
        <v>5242</v>
      </c>
    </row>
    <row r="60" spans="1:20" ht="22.5">
      <c r="A60" s="17" t="s">
        <v>202</v>
      </c>
      <c r="B60" s="73">
        <v>1</v>
      </c>
      <c r="C60" s="63"/>
      <c r="D60" s="212">
        <v>12</v>
      </c>
      <c r="E60" s="218">
        <f t="shared" si="0"/>
        <v>48000</v>
      </c>
      <c r="F60" s="60" t="s">
        <v>166</v>
      </c>
      <c r="G60" s="61"/>
      <c r="H60" s="61"/>
      <c r="I60" s="61"/>
      <c r="J60" s="61"/>
      <c r="K60" s="61"/>
      <c r="L60" s="61"/>
      <c r="M60" s="61"/>
      <c r="N60" s="61"/>
      <c r="O60" s="61"/>
      <c r="P60" s="64">
        <v>4000</v>
      </c>
      <c r="Q60" s="61"/>
      <c r="R60" s="61"/>
      <c r="S60" s="213"/>
      <c r="T60" s="219">
        <f t="shared" si="1"/>
        <v>4000</v>
      </c>
    </row>
    <row r="61" spans="1:20" ht="33.75">
      <c r="A61" s="17" t="s">
        <v>203</v>
      </c>
      <c r="B61" s="73">
        <v>1</v>
      </c>
      <c r="C61" s="63"/>
      <c r="D61" s="212">
        <v>12</v>
      </c>
      <c r="E61" s="218">
        <f t="shared" si="0"/>
        <v>96000</v>
      </c>
      <c r="F61" s="60" t="s">
        <v>166</v>
      </c>
      <c r="G61" s="61"/>
      <c r="H61" s="61"/>
      <c r="I61" s="61"/>
      <c r="J61" s="61"/>
      <c r="K61" s="61"/>
      <c r="L61" s="61"/>
      <c r="M61" s="61"/>
      <c r="N61" s="61"/>
      <c r="O61" s="61"/>
      <c r="P61" s="64">
        <v>8000</v>
      </c>
      <c r="Q61" s="61"/>
      <c r="R61" s="61"/>
      <c r="S61" s="213"/>
      <c r="T61" s="219">
        <f t="shared" si="1"/>
        <v>8000</v>
      </c>
    </row>
    <row r="62" spans="1:20" ht="33.75">
      <c r="A62" s="17" t="s">
        <v>204</v>
      </c>
      <c r="B62" s="73">
        <v>1</v>
      </c>
      <c r="C62" s="63"/>
      <c r="D62" s="212">
        <v>12</v>
      </c>
      <c r="E62" s="218">
        <f t="shared" si="0"/>
        <v>180000</v>
      </c>
      <c r="F62" s="60" t="s">
        <v>166</v>
      </c>
      <c r="G62" s="61"/>
      <c r="H62" s="61"/>
      <c r="I62" s="61"/>
      <c r="J62" s="61"/>
      <c r="K62" s="61"/>
      <c r="L62" s="61"/>
      <c r="M62" s="61"/>
      <c r="N62" s="61"/>
      <c r="O62" s="61"/>
      <c r="P62" s="64">
        <v>15000</v>
      </c>
      <c r="Q62" s="61"/>
      <c r="R62" s="61"/>
      <c r="S62" s="213"/>
      <c r="T62" s="219">
        <f t="shared" si="1"/>
        <v>15000</v>
      </c>
    </row>
    <row r="63" spans="1:20" ht="33.75">
      <c r="A63" s="17" t="s">
        <v>205</v>
      </c>
      <c r="B63" s="73">
        <v>1</v>
      </c>
      <c r="C63" s="65"/>
      <c r="D63" s="212">
        <v>12</v>
      </c>
      <c r="E63" s="218">
        <f t="shared" si="0"/>
        <v>84000</v>
      </c>
      <c r="F63" s="60" t="s">
        <v>166</v>
      </c>
      <c r="G63" s="66"/>
      <c r="H63" s="66"/>
      <c r="I63" s="66"/>
      <c r="J63" s="66"/>
      <c r="K63" s="66"/>
      <c r="L63" s="66"/>
      <c r="M63" s="66"/>
      <c r="N63" s="66"/>
      <c r="O63" s="66"/>
      <c r="P63" s="64">
        <v>7000</v>
      </c>
      <c r="Q63" s="66"/>
      <c r="R63" s="66"/>
      <c r="S63" s="214"/>
      <c r="T63" s="219">
        <f t="shared" si="1"/>
        <v>7000</v>
      </c>
    </row>
    <row r="64" spans="1:20" ht="33.75">
      <c r="A64" s="17" t="s">
        <v>206</v>
      </c>
      <c r="B64" s="73">
        <v>1</v>
      </c>
      <c r="C64" s="67"/>
      <c r="D64" s="212">
        <v>12</v>
      </c>
      <c r="E64" s="218">
        <f t="shared" si="0"/>
        <v>96000</v>
      </c>
      <c r="F64" s="60" t="s">
        <v>166</v>
      </c>
      <c r="G64" s="66"/>
      <c r="H64" s="66"/>
      <c r="I64" s="66"/>
      <c r="J64" s="66"/>
      <c r="K64" s="66"/>
      <c r="L64" s="66"/>
      <c r="M64" s="66"/>
      <c r="N64" s="66"/>
      <c r="O64" s="66"/>
      <c r="P64" s="64">
        <v>8000</v>
      </c>
      <c r="Q64" s="66"/>
      <c r="R64" s="66"/>
      <c r="S64" s="214"/>
      <c r="T64" s="219">
        <f t="shared" si="1"/>
        <v>8000</v>
      </c>
    </row>
    <row r="65" spans="1:20" ht="22.5">
      <c r="A65" s="17" t="s">
        <v>207</v>
      </c>
      <c r="B65" s="73">
        <v>1</v>
      </c>
      <c r="C65" s="67"/>
      <c r="D65" s="212">
        <v>12</v>
      </c>
      <c r="E65" s="218">
        <f t="shared" si="0"/>
        <v>48000</v>
      </c>
      <c r="F65" s="60" t="s">
        <v>166</v>
      </c>
      <c r="G65" s="66"/>
      <c r="H65" s="66"/>
      <c r="I65" s="66"/>
      <c r="J65" s="66"/>
      <c r="K65" s="66"/>
      <c r="L65" s="66"/>
      <c r="M65" s="66"/>
      <c r="N65" s="66"/>
      <c r="O65" s="66"/>
      <c r="P65" s="64">
        <v>4000</v>
      </c>
      <c r="Q65" s="66"/>
      <c r="R65" s="66"/>
      <c r="S65" s="214"/>
      <c r="T65" s="219">
        <f t="shared" si="1"/>
        <v>4000</v>
      </c>
    </row>
    <row r="66" spans="1:20" ht="22.5">
      <c r="A66" s="17" t="s">
        <v>207</v>
      </c>
      <c r="B66" s="73">
        <v>1</v>
      </c>
      <c r="C66" s="67"/>
      <c r="D66" s="212">
        <v>12</v>
      </c>
      <c r="E66" s="218">
        <f t="shared" si="0"/>
        <v>84000</v>
      </c>
      <c r="F66" s="60" t="s">
        <v>166</v>
      </c>
      <c r="G66" s="66"/>
      <c r="H66" s="66"/>
      <c r="I66" s="66"/>
      <c r="J66" s="66"/>
      <c r="K66" s="66"/>
      <c r="L66" s="66"/>
      <c r="M66" s="66"/>
      <c r="N66" s="66"/>
      <c r="O66" s="66"/>
      <c r="P66" s="64">
        <v>7000</v>
      </c>
      <c r="Q66" s="66"/>
      <c r="R66" s="66"/>
      <c r="S66" s="214"/>
      <c r="T66" s="219">
        <f t="shared" si="1"/>
        <v>7000</v>
      </c>
    </row>
    <row r="67" spans="1:20" ht="22.5">
      <c r="A67" s="17" t="s">
        <v>207</v>
      </c>
      <c r="B67" s="73">
        <v>1</v>
      </c>
      <c r="C67" s="67"/>
      <c r="D67" s="212">
        <v>12</v>
      </c>
      <c r="E67" s="218">
        <f t="shared" si="0"/>
        <v>42000</v>
      </c>
      <c r="F67" s="60" t="s">
        <v>166</v>
      </c>
      <c r="G67" s="66"/>
      <c r="H67" s="66"/>
      <c r="I67" s="66"/>
      <c r="J67" s="66"/>
      <c r="K67" s="66"/>
      <c r="L67" s="66"/>
      <c r="M67" s="66"/>
      <c r="N67" s="66"/>
      <c r="O67" s="66"/>
      <c r="P67" s="64">
        <v>3500</v>
      </c>
      <c r="Q67" s="66"/>
      <c r="R67" s="66"/>
      <c r="S67" s="214"/>
      <c r="T67" s="219">
        <f t="shared" si="1"/>
        <v>3500</v>
      </c>
    </row>
    <row r="68" spans="1:20" ht="22.5">
      <c r="A68" s="17" t="s">
        <v>208</v>
      </c>
      <c r="B68" s="73">
        <v>1</v>
      </c>
      <c r="C68" s="67"/>
      <c r="D68" s="212">
        <v>12</v>
      </c>
      <c r="E68" s="218">
        <f t="shared" si="0"/>
        <v>36000</v>
      </c>
      <c r="F68" s="60" t="s">
        <v>166</v>
      </c>
      <c r="G68" s="66"/>
      <c r="H68" s="66"/>
      <c r="I68" s="66"/>
      <c r="J68" s="66"/>
      <c r="K68" s="66"/>
      <c r="L68" s="66"/>
      <c r="M68" s="66"/>
      <c r="N68" s="66"/>
      <c r="O68" s="66"/>
      <c r="P68" s="64">
        <v>3000</v>
      </c>
      <c r="Q68" s="66"/>
      <c r="R68" s="66"/>
      <c r="S68" s="214"/>
      <c r="T68" s="219">
        <f t="shared" si="1"/>
        <v>3000</v>
      </c>
    </row>
    <row r="69" spans="1:20" ht="22.5">
      <c r="A69" s="17" t="s">
        <v>208</v>
      </c>
      <c r="B69" s="73">
        <v>1</v>
      </c>
      <c r="C69" s="67"/>
      <c r="D69" s="212">
        <v>12</v>
      </c>
      <c r="E69" s="218">
        <f t="shared" si="0"/>
        <v>33600</v>
      </c>
      <c r="F69" s="60" t="s">
        <v>166</v>
      </c>
      <c r="G69" s="66"/>
      <c r="H69" s="66"/>
      <c r="I69" s="66"/>
      <c r="J69" s="66"/>
      <c r="K69" s="66"/>
      <c r="L69" s="66"/>
      <c r="M69" s="66"/>
      <c r="N69" s="66"/>
      <c r="O69" s="66"/>
      <c r="P69" s="64">
        <v>2800</v>
      </c>
      <c r="Q69" s="66"/>
      <c r="R69" s="66"/>
      <c r="S69" s="214"/>
      <c r="T69" s="219">
        <f t="shared" si="1"/>
        <v>2800</v>
      </c>
    </row>
    <row r="70" spans="1:20" ht="22.5">
      <c r="A70" s="17" t="s">
        <v>208</v>
      </c>
      <c r="B70" s="73">
        <v>1</v>
      </c>
      <c r="C70" s="67"/>
      <c r="D70" s="212">
        <v>12</v>
      </c>
      <c r="E70" s="218">
        <f t="shared" si="0"/>
        <v>33600</v>
      </c>
      <c r="F70" s="60" t="s">
        <v>166</v>
      </c>
      <c r="G70" s="66"/>
      <c r="H70" s="66"/>
      <c r="I70" s="66"/>
      <c r="J70" s="66"/>
      <c r="K70" s="66"/>
      <c r="L70" s="66"/>
      <c r="M70" s="66"/>
      <c r="N70" s="66"/>
      <c r="O70" s="66"/>
      <c r="P70" s="64">
        <v>2800</v>
      </c>
      <c r="Q70" s="66"/>
      <c r="R70" s="66"/>
      <c r="S70" s="214"/>
      <c r="T70" s="219">
        <f t="shared" si="1"/>
        <v>2800</v>
      </c>
    </row>
    <row r="71" spans="1:20" ht="22.5">
      <c r="A71" s="17" t="s">
        <v>208</v>
      </c>
      <c r="B71" s="73">
        <v>1</v>
      </c>
      <c r="C71" s="67"/>
      <c r="D71" s="212">
        <v>12</v>
      </c>
      <c r="E71" s="218">
        <f t="shared" ref="E71:E134" si="2">T71*12</f>
        <v>33600</v>
      </c>
      <c r="F71" s="60" t="s">
        <v>166</v>
      </c>
      <c r="G71" s="66"/>
      <c r="H71" s="66"/>
      <c r="I71" s="66"/>
      <c r="J71" s="66"/>
      <c r="K71" s="66"/>
      <c r="L71" s="66"/>
      <c r="M71" s="66"/>
      <c r="N71" s="66"/>
      <c r="O71" s="66"/>
      <c r="P71" s="64">
        <v>2800</v>
      </c>
      <c r="Q71" s="66"/>
      <c r="R71" s="66"/>
      <c r="S71" s="214"/>
      <c r="T71" s="219">
        <f t="shared" si="1"/>
        <v>2800</v>
      </c>
    </row>
    <row r="72" spans="1:20" ht="22.5">
      <c r="A72" s="17" t="s">
        <v>208</v>
      </c>
      <c r="B72" s="73">
        <v>1</v>
      </c>
      <c r="C72" s="67"/>
      <c r="D72" s="212">
        <v>12</v>
      </c>
      <c r="E72" s="218">
        <f t="shared" si="2"/>
        <v>33600</v>
      </c>
      <c r="F72" s="60" t="s">
        <v>166</v>
      </c>
      <c r="G72" s="66"/>
      <c r="H72" s="66"/>
      <c r="I72" s="66"/>
      <c r="J72" s="66"/>
      <c r="K72" s="66"/>
      <c r="L72" s="66"/>
      <c r="M72" s="66"/>
      <c r="N72" s="66"/>
      <c r="O72" s="66"/>
      <c r="P72" s="64">
        <v>2800</v>
      </c>
      <c r="Q72" s="66"/>
      <c r="R72" s="66"/>
      <c r="S72" s="214"/>
      <c r="T72" s="219">
        <f t="shared" ref="T72:T135" si="3">SUM(G72:S72)</f>
        <v>2800</v>
      </c>
    </row>
    <row r="73" spans="1:20" ht="22.5">
      <c r="A73" s="17" t="s">
        <v>208</v>
      </c>
      <c r="B73" s="73">
        <v>1</v>
      </c>
      <c r="C73" s="67"/>
      <c r="D73" s="212">
        <v>12</v>
      </c>
      <c r="E73" s="218">
        <f t="shared" si="2"/>
        <v>33600</v>
      </c>
      <c r="F73" s="60" t="s">
        <v>166</v>
      </c>
      <c r="G73" s="66"/>
      <c r="H73" s="66"/>
      <c r="I73" s="66"/>
      <c r="J73" s="66"/>
      <c r="K73" s="66"/>
      <c r="L73" s="66"/>
      <c r="M73" s="66"/>
      <c r="N73" s="66"/>
      <c r="O73" s="66"/>
      <c r="P73" s="64">
        <v>2800</v>
      </c>
      <c r="Q73" s="66"/>
      <c r="R73" s="66"/>
      <c r="S73" s="214"/>
      <c r="T73" s="219">
        <f t="shared" si="3"/>
        <v>2800</v>
      </c>
    </row>
    <row r="74" spans="1:20" ht="22.5">
      <c r="A74" s="17" t="s">
        <v>208</v>
      </c>
      <c r="B74" s="73">
        <v>1</v>
      </c>
      <c r="C74" s="67"/>
      <c r="D74" s="212">
        <v>12</v>
      </c>
      <c r="E74" s="218">
        <f t="shared" si="2"/>
        <v>33600</v>
      </c>
      <c r="F74" s="60" t="s">
        <v>166</v>
      </c>
      <c r="G74" s="66"/>
      <c r="H74" s="66"/>
      <c r="I74" s="66"/>
      <c r="J74" s="66"/>
      <c r="K74" s="66"/>
      <c r="L74" s="66"/>
      <c r="M74" s="66"/>
      <c r="N74" s="66"/>
      <c r="O74" s="66"/>
      <c r="P74" s="64">
        <v>2800</v>
      </c>
      <c r="Q74" s="66"/>
      <c r="R74" s="66"/>
      <c r="S74" s="214"/>
      <c r="T74" s="219">
        <f t="shared" si="3"/>
        <v>2800</v>
      </c>
    </row>
    <row r="75" spans="1:20" ht="22.5">
      <c r="A75" s="17" t="s">
        <v>208</v>
      </c>
      <c r="B75" s="73">
        <v>1</v>
      </c>
      <c r="C75" s="67"/>
      <c r="D75" s="212">
        <v>12</v>
      </c>
      <c r="E75" s="218">
        <f t="shared" si="2"/>
        <v>33600</v>
      </c>
      <c r="F75" s="60" t="s">
        <v>166</v>
      </c>
      <c r="G75" s="66"/>
      <c r="H75" s="66"/>
      <c r="I75" s="66"/>
      <c r="J75" s="66"/>
      <c r="K75" s="66"/>
      <c r="L75" s="66"/>
      <c r="M75" s="66"/>
      <c r="N75" s="66"/>
      <c r="O75" s="66"/>
      <c r="P75" s="64">
        <v>2800</v>
      </c>
      <c r="Q75" s="66"/>
      <c r="R75" s="66"/>
      <c r="S75" s="214"/>
      <c r="T75" s="219">
        <f t="shared" si="3"/>
        <v>2800</v>
      </c>
    </row>
    <row r="76" spans="1:20" ht="22.5">
      <c r="A76" s="17" t="s">
        <v>208</v>
      </c>
      <c r="B76" s="73">
        <v>1</v>
      </c>
      <c r="C76" s="67"/>
      <c r="D76" s="212">
        <v>12</v>
      </c>
      <c r="E76" s="218">
        <f t="shared" si="2"/>
        <v>33600</v>
      </c>
      <c r="F76" s="60" t="s">
        <v>166</v>
      </c>
      <c r="G76" s="66"/>
      <c r="H76" s="66"/>
      <c r="I76" s="66"/>
      <c r="J76" s="66"/>
      <c r="K76" s="66"/>
      <c r="L76" s="66"/>
      <c r="M76" s="66"/>
      <c r="N76" s="66"/>
      <c r="O76" s="66"/>
      <c r="P76" s="64">
        <v>2800</v>
      </c>
      <c r="Q76" s="66"/>
      <c r="R76" s="66"/>
      <c r="S76" s="214"/>
      <c r="T76" s="219">
        <f t="shared" si="3"/>
        <v>2800</v>
      </c>
    </row>
    <row r="77" spans="1:20" ht="22.5">
      <c r="A77" s="17" t="s">
        <v>208</v>
      </c>
      <c r="B77" s="73">
        <v>1</v>
      </c>
      <c r="C77" s="67"/>
      <c r="D77" s="212">
        <v>12</v>
      </c>
      <c r="E77" s="218">
        <f t="shared" si="2"/>
        <v>33600</v>
      </c>
      <c r="F77" s="60" t="s">
        <v>166</v>
      </c>
      <c r="G77" s="66"/>
      <c r="H77" s="66"/>
      <c r="I77" s="66"/>
      <c r="J77" s="66"/>
      <c r="K77" s="66"/>
      <c r="L77" s="66"/>
      <c r="M77" s="66"/>
      <c r="N77" s="66"/>
      <c r="O77" s="66"/>
      <c r="P77" s="64">
        <v>2800</v>
      </c>
      <c r="Q77" s="66"/>
      <c r="R77" s="66"/>
      <c r="S77" s="214"/>
      <c r="T77" s="219">
        <f t="shared" si="3"/>
        <v>2800</v>
      </c>
    </row>
    <row r="78" spans="1:20" ht="22.5">
      <c r="A78" s="17" t="s">
        <v>208</v>
      </c>
      <c r="B78" s="73">
        <v>1</v>
      </c>
      <c r="C78" s="67"/>
      <c r="D78" s="212">
        <v>12</v>
      </c>
      <c r="E78" s="218">
        <f t="shared" si="2"/>
        <v>33600</v>
      </c>
      <c r="F78" s="60" t="s">
        <v>166</v>
      </c>
      <c r="G78" s="66"/>
      <c r="H78" s="66"/>
      <c r="I78" s="66"/>
      <c r="J78" s="66"/>
      <c r="K78" s="66"/>
      <c r="L78" s="66"/>
      <c r="M78" s="66"/>
      <c r="N78" s="66"/>
      <c r="O78" s="66"/>
      <c r="P78" s="64">
        <v>2800</v>
      </c>
      <c r="Q78" s="66"/>
      <c r="R78" s="66"/>
      <c r="S78" s="214"/>
      <c r="T78" s="219">
        <f t="shared" si="3"/>
        <v>2800</v>
      </c>
    </row>
    <row r="79" spans="1:20" ht="22.5">
      <c r="A79" s="17" t="s">
        <v>208</v>
      </c>
      <c r="B79" s="73">
        <v>1</v>
      </c>
      <c r="C79" s="67"/>
      <c r="D79" s="212">
        <v>12</v>
      </c>
      <c r="E79" s="218">
        <f t="shared" si="2"/>
        <v>33600</v>
      </c>
      <c r="F79" s="60" t="s">
        <v>166</v>
      </c>
      <c r="G79" s="66"/>
      <c r="H79" s="66"/>
      <c r="I79" s="66"/>
      <c r="J79" s="66"/>
      <c r="K79" s="66"/>
      <c r="L79" s="66"/>
      <c r="M79" s="66"/>
      <c r="N79" s="66"/>
      <c r="O79" s="66"/>
      <c r="P79" s="64">
        <v>2800</v>
      </c>
      <c r="Q79" s="66"/>
      <c r="R79" s="66"/>
      <c r="S79" s="214"/>
      <c r="T79" s="219">
        <f t="shared" si="3"/>
        <v>2800</v>
      </c>
    </row>
    <row r="80" spans="1:20" ht="22.5">
      <c r="A80" s="17" t="s">
        <v>208</v>
      </c>
      <c r="B80" s="73">
        <v>1</v>
      </c>
      <c r="C80" s="67"/>
      <c r="D80" s="212">
        <v>12</v>
      </c>
      <c r="E80" s="218">
        <f t="shared" si="2"/>
        <v>33600</v>
      </c>
      <c r="F80" s="60" t="s">
        <v>166</v>
      </c>
      <c r="G80" s="66"/>
      <c r="H80" s="66"/>
      <c r="I80" s="66"/>
      <c r="J80" s="66"/>
      <c r="K80" s="66"/>
      <c r="L80" s="66"/>
      <c r="M80" s="66"/>
      <c r="N80" s="66"/>
      <c r="O80" s="66"/>
      <c r="P80" s="64">
        <v>2800</v>
      </c>
      <c r="Q80" s="66"/>
      <c r="R80" s="66"/>
      <c r="S80" s="214"/>
      <c r="T80" s="219">
        <f t="shared" si="3"/>
        <v>2800</v>
      </c>
    </row>
    <row r="81" spans="1:20" ht="22.5">
      <c r="A81" s="17" t="s">
        <v>208</v>
      </c>
      <c r="B81" s="73">
        <v>1</v>
      </c>
      <c r="C81" s="67"/>
      <c r="D81" s="212">
        <v>12</v>
      </c>
      <c r="E81" s="218">
        <f t="shared" si="2"/>
        <v>33600</v>
      </c>
      <c r="F81" s="60" t="s">
        <v>166</v>
      </c>
      <c r="G81" s="66"/>
      <c r="H81" s="66"/>
      <c r="I81" s="66"/>
      <c r="J81" s="66"/>
      <c r="K81" s="66"/>
      <c r="L81" s="66"/>
      <c r="M81" s="66"/>
      <c r="N81" s="66"/>
      <c r="O81" s="66"/>
      <c r="P81" s="64">
        <v>2800</v>
      </c>
      <c r="Q81" s="66"/>
      <c r="R81" s="66"/>
      <c r="S81" s="214"/>
      <c r="T81" s="219">
        <f t="shared" si="3"/>
        <v>2800</v>
      </c>
    </row>
    <row r="82" spans="1:20" ht="22.5">
      <c r="A82" s="17" t="s">
        <v>208</v>
      </c>
      <c r="B82" s="73">
        <v>1</v>
      </c>
      <c r="C82" s="67"/>
      <c r="D82" s="212">
        <v>12</v>
      </c>
      <c r="E82" s="218">
        <f t="shared" si="2"/>
        <v>33600</v>
      </c>
      <c r="F82" s="60" t="s">
        <v>166</v>
      </c>
      <c r="G82" s="66"/>
      <c r="H82" s="66"/>
      <c r="I82" s="66"/>
      <c r="J82" s="66"/>
      <c r="K82" s="66"/>
      <c r="L82" s="66"/>
      <c r="M82" s="66"/>
      <c r="N82" s="66"/>
      <c r="O82" s="66"/>
      <c r="P82" s="64">
        <v>2800</v>
      </c>
      <c r="Q82" s="66"/>
      <c r="R82" s="66"/>
      <c r="S82" s="214"/>
      <c r="T82" s="219">
        <f t="shared" si="3"/>
        <v>2800</v>
      </c>
    </row>
    <row r="83" spans="1:20" ht="22.5">
      <c r="A83" s="17" t="s">
        <v>208</v>
      </c>
      <c r="B83" s="73">
        <v>1</v>
      </c>
      <c r="C83" s="67"/>
      <c r="D83" s="212">
        <v>12</v>
      </c>
      <c r="E83" s="218">
        <f t="shared" si="2"/>
        <v>33600</v>
      </c>
      <c r="F83" s="60" t="s">
        <v>166</v>
      </c>
      <c r="G83" s="66"/>
      <c r="H83" s="66"/>
      <c r="I83" s="66"/>
      <c r="J83" s="66"/>
      <c r="K83" s="66"/>
      <c r="L83" s="66"/>
      <c r="M83" s="66"/>
      <c r="N83" s="66"/>
      <c r="O83" s="66"/>
      <c r="P83" s="64">
        <v>2800</v>
      </c>
      <c r="Q83" s="66"/>
      <c r="R83" s="66"/>
      <c r="S83" s="214"/>
      <c r="T83" s="219">
        <f t="shared" si="3"/>
        <v>2800</v>
      </c>
    </row>
    <row r="84" spans="1:20" ht="22.5">
      <c r="A84" s="17" t="s">
        <v>208</v>
      </c>
      <c r="B84" s="73">
        <v>1</v>
      </c>
      <c r="C84" s="67"/>
      <c r="D84" s="212">
        <v>12</v>
      </c>
      <c r="E84" s="218">
        <f t="shared" si="2"/>
        <v>33600</v>
      </c>
      <c r="F84" s="60" t="s">
        <v>166</v>
      </c>
      <c r="G84" s="66"/>
      <c r="H84" s="66"/>
      <c r="I84" s="66"/>
      <c r="J84" s="66"/>
      <c r="K84" s="66"/>
      <c r="L84" s="66"/>
      <c r="M84" s="66"/>
      <c r="N84" s="66"/>
      <c r="O84" s="66"/>
      <c r="P84" s="64">
        <v>2800</v>
      </c>
      <c r="Q84" s="66"/>
      <c r="R84" s="66"/>
      <c r="S84" s="214"/>
      <c r="T84" s="219">
        <f t="shared" si="3"/>
        <v>2800</v>
      </c>
    </row>
    <row r="85" spans="1:20" ht="22.5">
      <c r="A85" s="17" t="s">
        <v>208</v>
      </c>
      <c r="B85" s="73">
        <v>1</v>
      </c>
      <c r="C85" s="67"/>
      <c r="D85" s="212">
        <v>12</v>
      </c>
      <c r="E85" s="218">
        <f t="shared" si="2"/>
        <v>33600</v>
      </c>
      <c r="F85" s="60" t="s">
        <v>166</v>
      </c>
      <c r="G85" s="66"/>
      <c r="H85" s="66"/>
      <c r="I85" s="66"/>
      <c r="J85" s="66"/>
      <c r="K85" s="66"/>
      <c r="L85" s="66"/>
      <c r="M85" s="66"/>
      <c r="N85" s="66"/>
      <c r="O85" s="66"/>
      <c r="P85" s="64">
        <v>2800</v>
      </c>
      <c r="Q85" s="66"/>
      <c r="R85" s="66"/>
      <c r="S85" s="214"/>
      <c r="T85" s="219">
        <f t="shared" si="3"/>
        <v>2800</v>
      </c>
    </row>
    <row r="86" spans="1:20" ht="33.75">
      <c r="A86" s="17" t="s">
        <v>209</v>
      </c>
      <c r="B86" s="73">
        <v>1</v>
      </c>
      <c r="C86" s="67"/>
      <c r="D86" s="212">
        <v>12</v>
      </c>
      <c r="E86" s="218">
        <f t="shared" si="2"/>
        <v>60000</v>
      </c>
      <c r="F86" s="60" t="s">
        <v>166</v>
      </c>
      <c r="G86" s="66"/>
      <c r="H86" s="66"/>
      <c r="I86" s="66"/>
      <c r="J86" s="66"/>
      <c r="K86" s="66"/>
      <c r="L86" s="66"/>
      <c r="M86" s="66"/>
      <c r="N86" s="66"/>
      <c r="O86" s="66"/>
      <c r="P86" s="64">
        <v>5000</v>
      </c>
      <c r="Q86" s="66"/>
      <c r="R86" s="66"/>
      <c r="S86" s="214"/>
      <c r="T86" s="219">
        <f t="shared" si="3"/>
        <v>5000</v>
      </c>
    </row>
    <row r="87" spans="1:20" ht="33.75">
      <c r="A87" s="17" t="s">
        <v>210</v>
      </c>
      <c r="B87" s="73">
        <v>1</v>
      </c>
      <c r="C87" s="67"/>
      <c r="D87" s="212">
        <v>12</v>
      </c>
      <c r="E87" s="218">
        <f t="shared" si="2"/>
        <v>60000</v>
      </c>
      <c r="F87" s="60" t="s">
        <v>166</v>
      </c>
      <c r="G87" s="66"/>
      <c r="H87" s="66"/>
      <c r="I87" s="66"/>
      <c r="J87" s="66"/>
      <c r="K87" s="66"/>
      <c r="L87" s="66"/>
      <c r="M87" s="66"/>
      <c r="N87" s="66"/>
      <c r="O87" s="66"/>
      <c r="P87" s="64">
        <v>5000</v>
      </c>
      <c r="Q87" s="66"/>
      <c r="R87" s="66"/>
      <c r="S87" s="214"/>
      <c r="T87" s="219">
        <f t="shared" si="3"/>
        <v>5000</v>
      </c>
    </row>
    <row r="88" spans="1:20" ht="33.75">
      <c r="A88" s="17" t="s">
        <v>210</v>
      </c>
      <c r="B88" s="73">
        <v>1</v>
      </c>
      <c r="C88" s="67"/>
      <c r="D88" s="212">
        <v>12</v>
      </c>
      <c r="E88" s="218">
        <f t="shared" si="2"/>
        <v>54000</v>
      </c>
      <c r="F88" s="60" t="s">
        <v>166</v>
      </c>
      <c r="G88" s="66"/>
      <c r="H88" s="66"/>
      <c r="I88" s="66"/>
      <c r="J88" s="66"/>
      <c r="K88" s="66"/>
      <c r="L88" s="66"/>
      <c r="M88" s="66"/>
      <c r="N88" s="66"/>
      <c r="O88" s="66"/>
      <c r="P88" s="64">
        <v>4500</v>
      </c>
      <c r="Q88" s="66"/>
      <c r="R88" s="66"/>
      <c r="S88" s="214"/>
      <c r="T88" s="219">
        <f t="shared" si="3"/>
        <v>4500</v>
      </c>
    </row>
    <row r="89" spans="1:20" ht="33.75">
      <c r="A89" s="17" t="s">
        <v>210</v>
      </c>
      <c r="B89" s="73">
        <v>1</v>
      </c>
      <c r="C89" s="67"/>
      <c r="D89" s="212">
        <v>12</v>
      </c>
      <c r="E89" s="218">
        <f t="shared" si="2"/>
        <v>54000</v>
      </c>
      <c r="F89" s="60" t="s">
        <v>166</v>
      </c>
      <c r="G89" s="66"/>
      <c r="H89" s="66"/>
      <c r="I89" s="66"/>
      <c r="J89" s="66"/>
      <c r="K89" s="66"/>
      <c r="L89" s="66"/>
      <c r="M89" s="66"/>
      <c r="N89" s="66"/>
      <c r="O89" s="66"/>
      <c r="P89" s="64">
        <v>4500</v>
      </c>
      <c r="Q89" s="66"/>
      <c r="R89" s="66"/>
      <c r="S89" s="214"/>
      <c r="T89" s="219">
        <f t="shared" si="3"/>
        <v>4500</v>
      </c>
    </row>
    <row r="90" spans="1:20" ht="33.75">
      <c r="A90" s="17" t="s">
        <v>210</v>
      </c>
      <c r="B90" s="73">
        <v>1</v>
      </c>
      <c r="C90" s="67"/>
      <c r="D90" s="212">
        <v>12</v>
      </c>
      <c r="E90" s="218">
        <f t="shared" si="2"/>
        <v>54000</v>
      </c>
      <c r="F90" s="60" t="s">
        <v>166</v>
      </c>
      <c r="G90" s="66"/>
      <c r="H90" s="66"/>
      <c r="I90" s="66"/>
      <c r="J90" s="66"/>
      <c r="K90" s="66"/>
      <c r="L90" s="66"/>
      <c r="M90" s="66"/>
      <c r="N90" s="66"/>
      <c r="O90" s="66"/>
      <c r="P90" s="64">
        <v>4500</v>
      </c>
      <c r="Q90" s="66"/>
      <c r="R90" s="66"/>
      <c r="S90" s="214"/>
      <c r="T90" s="219">
        <f t="shared" si="3"/>
        <v>4500</v>
      </c>
    </row>
    <row r="91" spans="1:20" ht="33.75">
      <c r="A91" s="17" t="s">
        <v>210</v>
      </c>
      <c r="B91" s="73">
        <v>1</v>
      </c>
      <c r="C91" s="67"/>
      <c r="D91" s="212">
        <v>12</v>
      </c>
      <c r="E91" s="218">
        <f t="shared" si="2"/>
        <v>54000</v>
      </c>
      <c r="F91" s="60" t="s">
        <v>166</v>
      </c>
      <c r="G91" s="66"/>
      <c r="H91" s="66"/>
      <c r="I91" s="66"/>
      <c r="J91" s="66"/>
      <c r="K91" s="66"/>
      <c r="L91" s="66"/>
      <c r="M91" s="66"/>
      <c r="N91" s="66"/>
      <c r="O91" s="66"/>
      <c r="P91" s="64">
        <v>4500</v>
      </c>
      <c r="Q91" s="66"/>
      <c r="R91" s="66"/>
      <c r="S91" s="214"/>
      <c r="T91" s="219">
        <f t="shared" si="3"/>
        <v>4500</v>
      </c>
    </row>
    <row r="92" spans="1:20" ht="33.75">
      <c r="A92" s="17" t="s">
        <v>210</v>
      </c>
      <c r="B92" s="73">
        <v>1</v>
      </c>
      <c r="C92" s="67"/>
      <c r="D92" s="212">
        <v>12</v>
      </c>
      <c r="E92" s="218">
        <f t="shared" si="2"/>
        <v>54000</v>
      </c>
      <c r="F92" s="60" t="s">
        <v>166</v>
      </c>
      <c r="G92" s="66"/>
      <c r="H92" s="66"/>
      <c r="I92" s="66"/>
      <c r="J92" s="66"/>
      <c r="K92" s="66"/>
      <c r="L92" s="66"/>
      <c r="M92" s="66"/>
      <c r="N92" s="66"/>
      <c r="O92" s="66"/>
      <c r="P92" s="64">
        <v>4500</v>
      </c>
      <c r="Q92" s="66"/>
      <c r="R92" s="66"/>
      <c r="S92" s="214"/>
      <c r="T92" s="219">
        <f t="shared" si="3"/>
        <v>4500</v>
      </c>
    </row>
    <row r="93" spans="1:20" ht="33.75">
      <c r="A93" s="17" t="s">
        <v>210</v>
      </c>
      <c r="B93" s="73">
        <v>1</v>
      </c>
      <c r="C93" s="67"/>
      <c r="D93" s="212">
        <v>12</v>
      </c>
      <c r="E93" s="218">
        <f t="shared" si="2"/>
        <v>54000</v>
      </c>
      <c r="F93" s="60" t="s">
        <v>166</v>
      </c>
      <c r="G93" s="66"/>
      <c r="H93" s="66"/>
      <c r="I93" s="66"/>
      <c r="J93" s="66"/>
      <c r="K93" s="66"/>
      <c r="L93" s="66"/>
      <c r="M93" s="66"/>
      <c r="N93" s="66"/>
      <c r="O93" s="66"/>
      <c r="P93" s="64">
        <v>4500</v>
      </c>
      <c r="Q93" s="66"/>
      <c r="R93" s="66"/>
      <c r="S93" s="214"/>
      <c r="T93" s="219">
        <f t="shared" si="3"/>
        <v>4500</v>
      </c>
    </row>
    <row r="94" spans="1:20" ht="33.75">
      <c r="A94" s="17" t="s">
        <v>210</v>
      </c>
      <c r="B94" s="73">
        <v>1</v>
      </c>
      <c r="C94" s="67"/>
      <c r="D94" s="212">
        <v>12</v>
      </c>
      <c r="E94" s="218">
        <f t="shared" si="2"/>
        <v>54000</v>
      </c>
      <c r="F94" s="60" t="s">
        <v>166</v>
      </c>
      <c r="G94" s="66"/>
      <c r="H94" s="66"/>
      <c r="I94" s="66"/>
      <c r="J94" s="66"/>
      <c r="K94" s="66"/>
      <c r="L94" s="66"/>
      <c r="M94" s="66"/>
      <c r="N94" s="66"/>
      <c r="O94" s="66"/>
      <c r="P94" s="64">
        <v>4500</v>
      </c>
      <c r="Q94" s="66"/>
      <c r="R94" s="66"/>
      <c r="S94" s="214"/>
      <c r="T94" s="219">
        <f t="shared" si="3"/>
        <v>4500</v>
      </c>
    </row>
    <row r="95" spans="1:20" ht="33.75">
      <c r="A95" s="17" t="s">
        <v>210</v>
      </c>
      <c r="B95" s="73">
        <v>1</v>
      </c>
      <c r="C95" s="67"/>
      <c r="D95" s="212">
        <v>12</v>
      </c>
      <c r="E95" s="218">
        <f t="shared" si="2"/>
        <v>54000</v>
      </c>
      <c r="F95" s="60" t="s">
        <v>166</v>
      </c>
      <c r="G95" s="66"/>
      <c r="H95" s="66"/>
      <c r="I95" s="66"/>
      <c r="J95" s="66"/>
      <c r="K95" s="66"/>
      <c r="L95" s="66"/>
      <c r="M95" s="66"/>
      <c r="N95" s="66"/>
      <c r="O95" s="66"/>
      <c r="P95" s="64">
        <v>4500</v>
      </c>
      <c r="Q95" s="66"/>
      <c r="R95" s="66"/>
      <c r="S95" s="214"/>
      <c r="T95" s="219">
        <f t="shared" si="3"/>
        <v>4500</v>
      </c>
    </row>
    <row r="96" spans="1:20" ht="33.75">
      <c r="A96" s="17" t="s">
        <v>210</v>
      </c>
      <c r="B96" s="73">
        <v>1</v>
      </c>
      <c r="C96" s="67"/>
      <c r="D96" s="212">
        <v>12</v>
      </c>
      <c r="E96" s="218">
        <f t="shared" si="2"/>
        <v>54000</v>
      </c>
      <c r="F96" s="60" t="s">
        <v>166</v>
      </c>
      <c r="G96" s="66"/>
      <c r="H96" s="66"/>
      <c r="I96" s="66"/>
      <c r="J96" s="66"/>
      <c r="K96" s="66"/>
      <c r="L96" s="66"/>
      <c r="M96" s="66"/>
      <c r="N96" s="66"/>
      <c r="O96" s="66"/>
      <c r="P96" s="64">
        <v>4500</v>
      </c>
      <c r="Q96" s="66"/>
      <c r="R96" s="66"/>
      <c r="S96" s="214"/>
      <c r="T96" s="219">
        <f t="shared" si="3"/>
        <v>4500</v>
      </c>
    </row>
    <row r="97" spans="1:20" ht="33.75">
      <c r="A97" s="17" t="s">
        <v>210</v>
      </c>
      <c r="B97" s="73">
        <v>1</v>
      </c>
      <c r="C97" s="67"/>
      <c r="D97" s="212">
        <v>12</v>
      </c>
      <c r="E97" s="218">
        <f t="shared" si="2"/>
        <v>54000</v>
      </c>
      <c r="F97" s="60" t="s">
        <v>166</v>
      </c>
      <c r="G97" s="66"/>
      <c r="H97" s="66"/>
      <c r="I97" s="66"/>
      <c r="J97" s="66"/>
      <c r="K97" s="66"/>
      <c r="L97" s="66"/>
      <c r="M97" s="66"/>
      <c r="N97" s="66"/>
      <c r="O97" s="66"/>
      <c r="P97" s="64">
        <v>4500</v>
      </c>
      <c r="Q97" s="66"/>
      <c r="R97" s="66"/>
      <c r="S97" s="214"/>
      <c r="T97" s="219">
        <f t="shared" si="3"/>
        <v>4500</v>
      </c>
    </row>
    <row r="98" spans="1:20" ht="33.75">
      <c r="A98" s="17" t="s">
        <v>211</v>
      </c>
      <c r="B98" s="73">
        <v>1</v>
      </c>
      <c r="C98" s="67"/>
      <c r="D98" s="212">
        <v>12</v>
      </c>
      <c r="E98" s="218">
        <f t="shared" si="2"/>
        <v>60000</v>
      </c>
      <c r="F98" s="60" t="s">
        <v>166</v>
      </c>
      <c r="G98" s="66"/>
      <c r="H98" s="66"/>
      <c r="I98" s="66"/>
      <c r="J98" s="66"/>
      <c r="K98" s="66"/>
      <c r="L98" s="66"/>
      <c r="M98" s="66"/>
      <c r="N98" s="66"/>
      <c r="O98" s="66"/>
      <c r="P98" s="64">
        <v>5000</v>
      </c>
      <c r="Q98" s="66"/>
      <c r="R98" s="66"/>
      <c r="S98" s="214"/>
      <c r="T98" s="219">
        <f t="shared" si="3"/>
        <v>5000</v>
      </c>
    </row>
    <row r="99" spans="1:20" ht="33.75">
      <c r="A99" s="17" t="s">
        <v>212</v>
      </c>
      <c r="B99" s="73">
        <v>1</v>
      </c>
      <c r="C99" s="67"/>
      <c r="D99" s="212">
        <v>12</v>
      </c>
      <c r="E99" s="218">
        <f t="shared" si="2"/>
        <v>54000</v>
      </c>
      <c r="F99" s="60" t="s">
        <v>166</v>
      </c>
      <c r="G99" s="66"/>
      <c r="H99" s="66"/>
      <c r="I99" s="66"/>
      <c r="J99" s="66"/>
      <c r="K99" s="66"/>
      <c r="L99" s="66"/>
      <c r="M99" s="66"/>
      <c r="N99" s="66"/>
      <c r="O99" s="66"/>
      <c r="P99" s="64">
        <v>4500</v>
      </c>
      <c r="Q99" s="66"/>
      <c r="R99" s="66"/>
      <c r="S99" s="214"/>
      <c r="T99" s="219">
        <f t="shared" si="3"/>
        <v>4500</v>
      </c>
    </row>
    <row r="100" spans="1:20" ht="33.75">
      <c r="A100" s="17" t="s">
        <v>212</v>
      </c>
      <c r="B100" s="73">
        <v>1</v>
      </c>
      <c r="C100" s="67"/>
      <c r="D100" s="212">
        <v>12</v>
      </c>
      <c r="E100" s="218">
        <f t="shared" si="2"/>
        <v>54000</v>
      </c>
      <c r="F100" s="60" t="s">
        <v>166</v>
      </c>
      <c r="G100" s="66"/>
      <c r="H100" s="66"/>
      <c r="I100" s="66"/>
      <c r="J100" s="66"/>
      <c r="K100" s="66"/>
      <c r="L100" s="66"/>
      <c r="M100" s="66"/>
      <c r="N100" s="66"/>
      <c r="O100" s="66"/>
      <c r="P100" s="64">
        <v>4500</v>
      </c>
      <c r="Q100" s="66"/>
      <c r="R100" s="66"/>
      <c r="S100" s="214"/>
      <c r="T100" s="219">
        <f t="shared" si="3"/>
        <v>4500</v>
      </c>
    </row>
    <row r="101" spans="1:20" ht="33.75">
      <c r="A101" s="17" t="s">
        <v>212</v>
      </c>
      <c r="B101" s="73">
        <v>1</v>
      </c>
      <c r="C101" s="67"/>
      <c r="D101" s="212">
        <v>12</v>
      </c>
      <c r="E101" s="218">
        <f t="shared" si="2"/>
        <v>54000</v>
      </c>
      <c r="F101" s="60" t="s">
        <v>166</v>
      </c>
      <c r="G101" s="66"/>
      <c r="H101" s="66"/>
      <c r="I101" s="66"/>
      <c r="J101" s="66"/>
      <c r="K101" s="66"/>
      <c r="L101" s="66"/>
      <c r="M101" s="66"/>
      <c r="N101" s="66"/>
      <c r="O101" s="66"/>
      <c r="P101" s="64">
        <v>4500</v>
      </c>
      <c r="Q101" s="66"/>
      <c r="R101" s="66"/>
      <c r="S101" s="214"/>
      <c r="T101" s="219">
        <f t="shared" si="3"/>
        <v>4500</v>
      </c>
    </row>
    <row r="102" spans="1:20" ht="33.75">
      <c r="A102" s="17" t="s">
        <v>212</v>
      </c>
      <c r="B102" s="73">
        <v>1</v>
      </c>
      <c r="C102" s="67"/>
      <c r="D102" s="212">
        <v>12</v>
      </c>
      <c r="E102" s="218">
        <f t="shared" si="2"/>
        <v>54000</v>
      </c>
      <c r="F102" s="60" t="s">
        <v>166</v>
      </c>
      <c r="G102" s="66"/>
      <c r="H102" s="66"/>
      <c r="I102" s="66"/>
      <c r="J102" s="66"/>
      <c r="K102" s="66"/>
      <c r="L102" s="66"/>
      <c r="M102" s="66"/>
      <c r="N102" s="66"/>
      <c r="O102" s="66"/>
      <c r="P102" s="64">
        <v>4500</v>
      </c>
      <c r="Q102" s="66"/>
      <c r="R102" s="66"/>
      <c r="S102" s="214"/>
      <c r="T102" s="219">
        <f t="shared" si="3"/>
        <v>4500</v>
      </c>
    </row>
    <row r="103" spans="1:20" ht="22.5">
      <c r="A103" s="17" t="s">
        <v>208</v>
      </c>
      <c r="B103" s="73">
        <v>1</v>
      </c>
      <c r="C103" s="67"/>
      <c r="D103" s="212">
        <v>12</v>
      </c>
      <c r="E103" s="218">
        <f t="shared" si="2"/>
        <v>33600</v>
      </c>
      <c r="F103" s="60" t="s">
        <v>166</v>
      </c>
      <c r="G103" s="66"/>
      <c r="H103" s="66"/>
      <c r="I103" s="66"/>
      <c r="J103" s="66"/>
      <c r="K103" s="66"/>
      <c r="L103" s="66"/>
      <c r="M103" s="66"/>
      <c r="N103" s="66"/>
      <c r="O103" s="66"/>
      <c r="P103" s="64">
        <v>2800</v>
      </c>
      <c r="Q103" s="66"/>
      <c r="R103" s="66"/>
      <c r="S103" s="214"/>
      <c r="T103" s="219">
        <f t="shared" si="3"/>
        <v>2800</v>
      </c>
    </row>
    <row r="104" spans="1:20" ht="33.75">
      <c r="A104" s="17" t="s">
        <v>212</v>
      </c>
      <c r="B104" s="73">
        <v>1</v>
      </c>
      <c r="C104" s="67"/>
      <c r="D104" s="212">
        <v>12</v>
      </c>
      <c r="E104" s="218">
        <f t="shared" si="2"/>
        <v>54000</v>
      </c>
      <c r="F104" s="60" t="s">
        <v>166</v>
      </c>
      <c r="G104" s="66"/>
      <c r="H104" s="66"/>
      <c r="I104" s="66"/>
      <c r="J104" s="66"/>
      <c r="K104" s="66"/>
      <c r="L104" s="66"/>
      <c r="M104" s="66"/>
      <c r="N104" s="66"/>
      <c r="O104" s="66"/>
      <c r="P104" s="64">
        <v>4500</v>
      </c>
      <c r="Q104" s="66"/>
      <c r="R104" s="66"/>
      <c r="S104" s="214"/>
      <c r="T104" s="219">
        <f t="shared" si="3"/>
        <v>4500</v>
      </c>
    </row>
    <row r="105" spans="1:20" ht="22.5">
      <c r="A105" s="17" t="s">
        <v>208</v>
      </c>
      <c r="B105" s="73">
        <v>1</v>
      </c>
      <c r="C105" s="67"/>
      <c r="D105" s="212">
        <v>12</v>
      </c>
      <c r="E105" s="218">
        <f t="shared" si="2"/>
        <v>36000</v>
      </c>
      <c r="F105" s="60" t="s">
        <v>166</v>
      </c>
      <c r="G105" s="66"/>
      <c r="H105" s="66"/>
      <c r="I105" s="66"/>
      <c r="J105" s="66"/>
      <c r="K105" s="66"/>
      <c r="L105" s="66"/>
      <c r="M105" s="66"/>
      <c r="N105" s="66"/>
      <c r="O105" s="66"/>
      <c r="P105" s="64">
        <v>3000</v>
      </c>
      <c r="Q105" s="66"/>
      <c r="R105" s="66"/>
      <c r="S105" s="214"/>
      <c r="T105" s="219">
        <f t="shared" si="3"/>
        <v>3000</v>
      </c>
    </row>
    <row r="106" spans="1:20" ht="22.5">
      <c r="A106" s="17" t="s">
        <v>208</v>
      </c>
      <c r="B106" s="73">
        <v>1</v>
      </c>
      <c r="C106" s="67"/>
      <c r="D106" s="212">
        <v>12</v>
      </c>
      <c r="E106" s="218">
        <f t="shared" si="2"/>
        <v>42000</v>
      </c>
      <c r="F106" s="60" t="s">
        <v>166</v>
      </c>
      <c r="G106" s="66"/>
      <c r="H106" s="66"/>
      <c r="I106" s="66"/>
      <c r="J106" s="66"/>
      <c r="K106" s="66"/>
      <c r="L106" s="66"/>
      <c r="M106" s="66"/>
      <c r="N106" s="66"/>
      <c r="O106" s="66"/>
      <c r="P106" s="64">
        <v>3500</v>
      </c>
      <c r="Q106" s="66"/>
      <c r="R106" s="66"/>
      <c r="S106" s="214"/>
      <c r="T106" s="219">
        <f t="shared" si="3"/>
        <v>3500</v>
      </c>
    </row>
    <row r="107" spans="1:20" ht="22.5">
      <c r="A107" s="17" t="s">
        <v>208</v>
      </c>
      <c r="B107" s="73">
        <v>1</v>
      </c>
      <c r="C107" s="67"/>
      <c r="D107" s="212">
        <v>12</v>
      </c>
      <c r="E107" s="218">
        <f t="shared" si="2"/>
        <v>36000</v>
      </c>
      <c r="F107" s="60" t="s">
        <v>166</v>
      </c>
      <c r="G107" s="66"/>
      <c r="H107" s="66"/>
      <c r="I107" s="66"/>
      <c r="J107" s="66"/>
      <c r="K107" s="66"/>
      <c r="L107" s="66"/>
      <c r="M107" s="66"/>
      <c r="N107" s="66"/>
      <c r="O107" s="66"/>
      <c r="P107" s="64">
        <v>3000</v>
      </c>
      <c r="Q107" s="66"/>
      <c r="R107" s="66"/>
      <c r="S107" s="214"/>
      <c r="T107" s="219">
        <f t="shared" si="3"/>
        <v>3000</v>
      </c>
    </row>
    <row r="108" spans="1:20" ht="22.5">
      <c r="A108" s="17" t="s">
        <v>213</v>
      </c>
      <c r="B108" s="73">
        <v>1</v>
      </c>
      <c r="C108" s="67"/>
      <c r="D108" s="212">
        <v>12</v>
      </c>
      <c r="E108" s="218">
        <f t="shared" si="2"/>
        <v>54000</v>
      </c>
      <c r="F108" s="60" t="s">
        <v>166</v>
      </c>
      <c r="G108" s="66"/>
      <c r="H108" s="66"/>
      <c r="I108" s="66"/>
      <c r="J108" s="66"/>
      <c r="K108" s="66"/>
      <c r="L108" s="66"/>
      <c r="M108" s="66"/>
      <c r="N108" s="66"/>
      <c r="O108" s="66"/>
      <c r="P108" s="64">
        <v>4500</v>
      </c>
      <c r="Q108" s="66"/>
      <c r="R108" s="66"/>
      <c r="S108" s="214"/>
      <c r="T108" s="219">
        <f t="shared" si="3"/>
        <v>4500</v>
      </c>
    </row>
    <row r="109" spans="1:20" ht="22.5">
      <c r="A109" s="17" t="s">
        <v>208</v>
      </c>
      <c r="B109" s="73">
        <v>1</v>
      </c>
      <c r="C109" s="67"/>
      <c r="D109" s="212">
        <v>12</v>
      </c>
      <c r="E109" s="218">
        <f t="shared" si="2"/>
        <v>42000</v>
      </c>
      <c r="F109" s="60" t="s">
        <v>166</v>
      </c>
      <c r="G109" s="66"/>
      <c r="H109" s="66"/>
      <c r="I109" s="66"/>
      <c r="J109" s="66"/>
      <c r="K109" s="66"/>
      <c r="L109" s="66"/>
      <c r="M109" s="66"/>
      <c r="N109" s="66"/>
      <c r="O109" s="66"/>
      <c r="P109" s="64">
        <v>3500</v>
      </c>
      <c r="Q109" s="66"/>
      <c r="R109" s="66"/>
      <c r="S109" s="214"/>
      <c r="T109" s="219">
        <f t="shared" si="3"/>
        <v>3500</v>
      </c>
    </row>
    <row r="110" spans="1:20" ht="22.5">
      <c r="A110" s="17" t="s">
        <v>208</v>
      </c>
      <c r="B110" s="73">
        <v>1</v>
      </c>
      <c r="C110" s="67"/>
      <c r="D110" s="212">
        <v>12</v>
      </c>
      <c r="E110" s="218">
        <f t="shared" si="2"/>
        <v>36000</v>
      </c>
      <c r="F110" s="60" t="s">
        <v>166</v>
      </c>
      <c r="G110" s="66"/>
      <c r="H110" s="66"/>
      <c r="I110" s="66"/>
      <c r="J110" s="66"/>
      <c r="K110" s="66"/>
      <c r="L110" s="66"/>
      <c r="M110" s="66"/>
      <c r="N110" s="66"/>
      <c r="O110" s="66"/>
      <c r="P110" s="64">
        <v>3000</v>
      </c>
      <c r="Q110" s="66"/>
      <c r="R110" s="66"/>
      <c r="S110" s="214"/>
      <c r="T110" s="219">
        <f t="shared" si="3"/>
        <v>3000</v>
      </c>
    </row>
    <row r="111" spans="1:20" ht="22.5">
      <c r="A111" s="17" t="s">
        <v>208</v>
      </c>
      <c r="B111" s="73">
        <v>1</v>
      </c>
      <c r="C111" s="67"/>
      <c r="D111" s="212">
        <v>12</v>
      </c>
      <c r="E111" s="218">
        <f t="shared" si="2"/>
        <v>42000</v>
      </c>
      <c r="F111" s="60" t="s">
        <v>166</v>
      </c>
      <c r="G111" s="66"/>
      <c r="H111" s="66"/>
      <c r="I111" s="66"/>
      <c r="J111" s="66"/>
      <c r="K111" s="66"/>
      <c r="L111" s="66"/>
      <c r="M111" s="66"/>
      <c r="N111" s="66"/>
      <c r="O111" s="66"/>
      <c r="P111" s="64">
        <v>3500</v>
      </c>
      <c r="Q111" s="66"/>
      <c r="R111" s="66"/>
      <c r="S111" s="214"/>
      <c r="T111" s="219">
        <f t="shared" si="3"/>
        <v>3500</v>
      </c>
    </row>
    <row r="112" spans="1:20" ht="33.75">
      <c r="A112" s="17" t="s">
        <v>210</v>
      </c>
      <c r="B112" s="73">
        <v>1</v>
      </c>
      <c r="C112" s="67"/>
      <c r="D112" s="212">
        <v>12</v>
      </c>
      <c r="E112" s="218">
        <f t="shared" si="2"/>
        <v>54000</v>
      </c>
      <c r="F112" s="60" t="s">
        <v>166</v>
      </c>
      <c r="G112" s="66"/>
      <c r="H112" s="66"/>
      <c r="I112" s="66"/>
      <c r="J112" s="66"/>
      <c r="K112" s="66"/>
      <c r="L112" s="66"/>
      <c r="M112" s="66"/>
      <c r="N112" s="66"/>
      <c r="O112" s="66"/>
      <c r="P112" s="64">
        <v>4500</v>
      </c>
      <c r="Q112" s="66"/>
      <c r="R112" s="66"/>
      <c r="S112" s="214"/>
      <c r="T112" s="219">
        <f t="shared" si="3"/>
        <v>4500</v>
      </c>
    </row>
    <row r="113" spans="1:20" ht="22.5">
      <c r="A113" s="17" t="s">
        <v>208</v>
      </c>
      <c r="B113" s="73">
        <v>1</v>
      </c>
      <c r="C113" s="67"/>
      <c r="D113" s="212">
        <v>12</v>
      </c>
      <c r="E113" s="218">
        <f t="shared" si="2"/>
        <v>36000</v>
      </c>
      <c r="F113" s="60" t="s">
        <v>166</v>
      </c>
      <c r="G113" s="66"/>
      <c r="H113" s="66"/>
      <c r="I113" s="66"/>
      <c r="J113" s="66"/>
      <c r="K113" s="66"/>
      <c r="L113" s="66"/>
      <c r="M113" s="66"/>
      <c r="N113" s="66"/>
      <c r="O113" s="66"/>
      <c r="P113" s="64">
        <v>3000</v>
      </c>
      <c r="Q113" s="66"/>
      <c r="R113" s="66"/>
      <c r="S113" s="214"/>
      <c r="T113" s="219">
        <f t="shared" si="3"/>
        <v>3000</v>
      </c>
    </row>
    <row r="114" spans="1:20" ht="45">
      <c r="A114" s="17" t="s">
        <v>214</v>
      </c>
      <c r="B114" s="73">
        <v>1</v>
      </c>
      <c r="C114" s="67"/>
      <c r="D114" s="212">
        <v>12</v>
      </c>
      <c r="E114" s="218">
        <f t="shared" si="2"/>
        <v>60000</v>
      </c>
      <c r="F114" s="60" t="s">
        <v>166</v>
      </c>
      <c r="G114" s="66"/>
      <c r="H114" s="66"/>
      <c r="I114" s="66"/>
      <c r="J114" s="66"/>
      <c r="K114" s="66"/>
      <c r="L114" s="66"/>
      <c r="M114" s="66"/>
      <c r="N114" s="66"/>
      <c r="O114" s="66"/>
      <c r="P114" s="64">
        <v>5000</v>
      </c>
      <c r="Q114" s="66"/>
      <c r="R114" s="66"/>
      <c r="S114" s="214"/>
      <c r="T114" s="219">
        <f t="shared" si="3"/>
        <v>5000</v>
      </c>
    </row>
    <row r="115" spans="1:20" ht="33.75">
      <c r="A115" s="17" t="s">
        <v>215</v>
      </c>
      <c r="B115" s="73">
        <v>1</v>
      </c>
      <c r="C115" s="67"/>
      <c r="D115" s="212">
        <v>12</v>
      </c>
      <c r="E115" s="218">
        <f t="shared" si="2"/>
        <v>48000</v>
      </c>
      <c r="F115" s="60" t="s">
        <v>166</v>
      </c>
      <c r="G115" s="66"/>
      <c r="H115" s="66"/>
      <c r="I115" s="66"/>
      <c r="J115" s="66"/>
      <c r="K115" s="66"/>
      <c r="L115" s="66"/>
      <c r="M115" s="66"/>
      <c r="N115" s="66"/>
      <c r="O115" s="66"/>
      <c r="P115" s="64">
        <v>4000</v>
      </c>
      <c r="Q115" s="66"/>
      <c r="R115" s="66"/>
      <c r="S115" s="214"/>
      <c r="T115" s="219">
        <f t="shared" si="3"/>
        <v>4000</v>
      </c>
    </row>
    <row r="116" spans="1:20" ht="33.75">
      <c r="A116" s="17" t="s">
        <v>215</v>
      </c>
      <c r="B116" s="73">
        <v>1</v>
      </c>
      <c r="C116" s="67"/>
      <c r="D116" s="212">
        <v>12</v>
      </c>
      <c r="E116" s="218">
        <f t="shared" si="2"/>
        <v>48000</v>
      </c>
      <c r="F116" s="60" t="s">
        <v>166</v>
      </c>
      <c r="G116" s="66"/>
      <c r="H116" s="66"/>
      <c r="I116" s="66"/>
      <c r="J116" s="66"/>
      <c r="K116" s="66"/>
      <c r="L116" s="66"/>
      <c r="M116" s="66"/>
      <c r="N116" s="66"/>
      <c r="O116" s="66"/>
      <c r="P116" s="64">
        <v>4000</v>
      </c>
      <c r="Q116" s="66"/>
      <c r="R116" s="66"/>
      <c r="S116" s="214"/>
      <c r="T116" s="219">
        <f t="shared" si="3"/>
        <v>4000</v>
      </c>
    </row>
    <row r="117" spans="1:20" ht="33.75">
      <c r="A117" s="17" t="s">
        <v>215</v>
      </c>
      <c r="B117" s="73">
        <v>1</v>
      </c>
      <c r="C117" s="67"/>
      <c r="D117" s="212">
        <v>12</v>
      </c>
      <c r="E117" s="218">
        <f t="shared" si="2"/>
        <v>48000</v>
      </c>
      <c r="F117" s="60" t="s">
        <v>166</v>
      </c>
      <c r="G117" s="66"/>
      <c r="H117" s="66"/>
      <c r="I117" s="66"/>
      <c r="J117" s="66"/>
      <c r="K117" s="66"/>
      <c r="L117" s="66"/>
      <c r="M117" s="66"/>
      <c r="N117" s="66"/>
      <c r="O117" s="66"/>
      <c r="P117" s="64">
        <v>4000</v>
      </c>
      <c r="Q117" s="66"/>
      <c r="R117" s="66"/>
      <c r="S117" s="214"/>
      <c r="T117" s="219">
        <f t="shared" si="3"/>
        <v>4000</v>
      </c>
    </row>
    <row r="118" spans="1:20" ht="33.75">
      <c r="A118" s="17" t="s">
        <v>215</v>
      </c>
      <c r="B118" s="73">
        <v>1</v>
      </c>
      <c r="C118" s="67"/>
      <c r="D118" s="212">
        <v>12</v>
      </c>
      <c r="E118" s="218">
        <f t="shared" si="2"/>
        <v>48000</v>
      </c>
      <c r="F118" s="60" t="s">
        <v>166</v>
      </c>
      <c r="G118" s="66"/>
      <c r="H118" s="66"/>
      <c r="I118" s="66"/>
      <c r="J118" s="66"/>
      <c r="K118" s="66"/>
      <c r="L118" s="66"/>
      <c r="M118" s="66"/>
      <c r="N118" s="66"/>
      <c r="O118" s="66"/>
      <c r="P118" s="64">
        <v>4000</v>
      </c>
      <c r="Q118" s="66"/>
      <c r="R118" s="66"/>
      <c r="S118" s="214"/>
      <c r="T118" s="219">
        <f t="shared" si="3"/>
        <v>4000</v>
      </c>
    </row>
    <row r="119" spans="1:20" ht="22.5">
      <c r="A119" s="17" t="s">
        <v>216</v>
      </c>
      <c r="B119" s="73">
        <v>1</v>
      </c>
      <c r="C119" s="67"/>
      <c r="D119" s="212">
        <v>12</v>
      </c>
      <c r="E119" s="218">
        <f t="shared" si="2"/>
        <v>42000</v>
      </c>
      <c r="F119" s="60" t="s">
        <v>166</v>
      </c>
      <c r="G119" s="66"/>
      <c r="H119" s="66"/>
      <c r="I119" s="66"/>
      <c r="J119" s="66"/>
      <c r="K119" s="66"/>
      <c r="L119" s="66"/>
      <c r="M119" s="66"/>
      <c r="N119" s="66"/>
      <c r="O119" s="66"/>
      <c r="P119" s="64">
        <v>3500</v>
      </c>
      <c r="Q119" s="66"/>
      <c r="R119" s="66"/>
      <c r="S119" s="214"/>
      <c r="T119" s="219">
        <f t="shared" si="3"/>
        <v>3500</v>
      </c>
    </row>
    <row r="120" spans="1:20" ht="22.5">
      <c r="A120" s="17" t="s">
        <v>216</v>
      </c>
      <c r="B120" s="73">
        <v>1</v>
      </c>
      <c r="C120" s="67"/>
      <c r="D120" s="212">
        <v>12</v>
      </c>
      <c r="E120" s="218">
        <f t="shared" si="2"/>
        <v>42000</v>
      </c>
      <c r="F120" s="60" t="s">
        <v>166</v>
      </c>
      <c r="G120" s="66"/>
      <c r="H120" s="66"/>
      <c r="I120" s="66"/>
      <c r="J120" s="66"/>
      <c r="K120" s="66"/>
      <c r="L120" s="66"/>
      <c r="M120" s="66"/>
      <c r="N120" s="66"/>
      <c r="O120" s="66"/>
      <c r="P120" s="64">
        <v>3500</v>
      </c>
      <c r="Q120" s="66"/>
      <c r="R120" s="66"/>
      <c r="S120" s="214"/>
      <c r="T120" s="219">
        <f t="shared" si="3"/>
        <v>3500</v>
      </c>
    </row>
    <row r="121" spans="1:20" ht="22.5">
      <c r="A121" s="17" t="s">
        <v>216</v>
      </c>
      <c r="B121" s="73">
        <v>1</v>
      </c>
      <c r="C121" s="67"/>
      <c r="D121" s="212">
        <v>12</v>
      </c>
      <c r="E121" s="218">
        <f t="shared" si="2"/>
        <v>42000</v>
      </c>
      <c r="F121" s="60" t="s">
        <v>166</v>
      </c>
      <c r="G121" s="66"/>
      <c r="H121" s="66"/>
      <c r="I121" s="66"/>
      <c r="J121" s="66"/>
      <c r="K121" s="66"/>
      <c r="L121" s="66"/>
      <c r="M121" s="66"/>
      <c r="N121" s="66"/>
      <c r="O121" s="66"/>
      <c r="P121" s="64">
        <v>3500</v>
      </c>
      <c r="Q121" s="66"/>
      <c r="R121" s="66"/>
      <c r="S121" s="214"/>
      <c r="T121" s="219">
        <f t="shared" si="3"/>
        <v>3500</v>
      </c>
    </row>
    <row r="122" spans="1:20" ht="22.5">
      <c r="A122" s="17" t="s">
        <v>216</v>
      </c>
      <c r="B122" s="73">
        <v>1</v>
      </c>
      <c r="C122" s="67"/>
      <c r="D122" s="212">
        <v>12</v>
      </c>
      <c r="E122" s="218">
        <f t="shared" si="2"/>
        <v>42000</v>
      </c>
      <c r="F122" s="60" t="s">
        <v>166</v>
      </c>
      <c r="G122" s="66"/>
      <c r="H122" s="66"/>
      <c r="I122" s="66"/>
      <c r="J122" s="66"/>
      <c r="K122" s="66"/>
      <c r="L122" s="66"/>
      <c r="M122" s="66"/>
      <c r="N122" s="66"/>
      <c r="O122" s="66"/>
      <c r="P122" s="64">
        <v>3500</v>
      </c>
      <c r="Q122" s="66"/>
      <c r="R122" s="66"/>
      <c r="S122" s="214"/>
      <c r="T122" s="219">
        <f t="shared" si="3"/>
        <v>3500</v>
      </c>
    </row>
    <row r="123" spans="1:20" ht="22.5">
      <c r="A123" s="17" t="s">
        <v>216</v>
      </c>
      <c r="B123" s="73">
        <v>1</v>
      </c>
      <c r="C123" s="67"/>
      <c r="D123" s="212">
        <v>12</v>
      </c>
      <c r="E123" s="218">
        <f t="shared" si="2"/>
        <v>42000</v>
      </c>
      <c r="F123" s="60" t="s">
        <v>166</v>
      </c>
      <c r="G123" s="66"/>
      <c r="H123" s="66"/>
      <c r="I123" s="66"/>
      <c r="J123" s="66"/>
      <c r="K123" s="66"/>
      <c r="L123" s="66"/>
      <c r="M123" s="66"/>
      <c r="N123" s="66"/>
      <c r="O123" s="66"/>
      <c r="P123" s="64">
        <v>3500</v>
      </c>
      <c r="Q123" s="66"/>
      <c r="R123" s="66"/>
      <c r="S123" s="214"/>
      <c r="T123" s="219">
        <f t="shared" si="3"/>
        <v>3500</v>
      </c>
    </row>
    <row r="124" spans="1:20" ht="22.5">
      <c r="A124" s="17" t="s">
        <v>216</v>
      </c>
      <c r="B124" s="73">
        <v>1</v>
      </c>
      <c r="C124" s="67"/>
      <c r="D124" s="212">
        <v>12</v>
      </c>
      <c r="E124" s="218">
        <f t="shared" si="2"/>
        <v>42000</v>
      </c>
      <c r="F124" s="60" t="s">
        <v>166</v>
      </c>
      <c r="G124" s="66"/>
      <c r="H124" s="66"/>
      <c r="I124" s="66"/>
      <c r="J124" s="66"/>
      <c r="K124" s="66"/>
      <c r="L124" s="66"/>
      <c r="M124" s="66"/>
      <c r="N124" s="66"/>
      <c r="O124" s="66"/>
      <c r="P124" s="64">
        <v>3500</v>
      </c>
      <c r="Q124" s="66"/>
      <c r="R124" s="66"/>
      <c r="S124" s="214"/>
      <c r="T124" s="219">
        <f t="shared" si="3"/>
        <v>3500</v>
      </c>
    </row>
    <row r="125" spans="1:20" ht="22.5">
      <c r="A125" s="17" t="s">
        <v>216</v>
      </c>
      <c r="B125" s="73">
        <v>1</v>
      </c>
      <c r="C125" s="67"/>
      <c r="D125" s="212">
        <v>12</v>
      </c>
      <c r="E125" s="218">
        <f t="shared" si="2"/>
        <v>42000</v>
      </c>
      <c r="F125" s="60" t="s">
        <v>166</v>
      </c>
      <c r="G125" s="66"/>
      <c r="H125" s="66"/>
      <c r="I125" s="66"/>
      <c r="J125" s="66"/>
      <c r="K125" s="66"/>
      <c r="L125" s="66"/>
      <c r="M125" s="66"/>
      <c r="N125" s="66"/>
      <c r="O125" s="66"/>
      <c r="P125" s="64">
        <v>3500</v>
      </c>
      <c r="Q125" s="66"/>
      <c r="R125" s="66"/>
      <c r="S125" s="214"/>
      <c r="T125" s="219">
        <f t="shared" si="3"/>
        <v>3500</v>
      </c>
    </row>
    <row r="126" spans="1:20" ht="22.5">
      <c r="A126" s="17" t="s">
        <v>216</v>
      </c>
      <c r="B126" s="73">
        <v>1</v>
      </c>
      <c r="C126" s="67"/>
      <c r="D126" s="212">
        <v>12</v>
      </c>
      <c r="E126" s="218">
        <f t="shared" si="2"/>
        <v>42000</v>
      </c>
      <c r="F126" s="60" t="s">
        <v>166</v>
      </c>
      <c r="G126" s="66"/>
      <c r="H126" s="66"/>
      <c r="I126" s="66"/>
      <c r="J126" s="66"/>
      <c r="K126" s="66"/>
      <c r="L126" s="66"/>
      <c r="M126" s="66"/>
      <c r="N126" s="66"/>
      <c r="O126" s="66"/>
      <c r="P126" s="64">
        <v>3500</v>
      </c>
      <c r="Q126" s="66"/>
      <c r="R126" s="66"/>
      <c r="S126" s="214"/>
      <c r="T126" s="219">
        <f t="shared" si="3"/>
        <v>3500</v>
      </c>
    </row>
    <row r="127" spans="1:20" ht="22.5">
      <c r="A127" s="17" t="s">
        <v>216</v>
      </c>
      <c r="B127" s="73">
        <v>1</v>
      </c>
      <c r="C127" s="67"/>
      <c r="D127" s="212">
        <v>12</v>
      </c>
      <c r="E127" s="218">
        <f t="shared" si="2"/>
        <v>42000</v>
      </c>
      <c r="F127" s="60" t="s">
        <v>166</v>
      </c>
      <c r="G127" s="66"/>
      <c r="H127" s="66"/>
      <c r="I127" s="66"/>
      <c r="J127" s="66"/>
      <c r="K127" s="66"/>
      <c r="L127" s="66"/>
      <c r="M127" s="66"/>
      <c r="N127" s="66"/>
      <c r="O127" s="66"/>
      <c r="P127" s="64">
        <v>3500</v>
      </c>
      <c r="Q127" s="66"/>
      <c r="R127" s="66"/>
      <c r="S127" s="214"/>
      <c r="T127" s="219">
        <f t="shared" si="3"/>
        <v>3500</v>
      </c>
    </row>
    <row r="128" spans="1:20" ht="22.5">
      <c r="A128" s="17" t="s">
        <v>216</v>
      </c>
      <c r="B128" s="73">
        <v>1</v>
      </c>
      <c r="C128" s="67"/>
      <c r="D128" s="212">
        <v>12</v>
      </c>
      <c r="E128" s="218">
        <f t="shared" si="2"/>
        <v>42000</v>
      </c>
      <c r="F128" s="60" t="s">
        <v>166</v>
      </c>
      <c r="G128" s="66"/>
      <c r="H128" s="66"/>
      <c r="I128" s="66"/>
      <c r="J128" s="66"/>
      <c r="K128" s="66"/>
      <c r="L128" s="66"/>
      <c r="M128" s="66"/>
      <c r="N128" s="66"/>
      <c r="O128" s="66"/>
      <c r="P128" s="64">
        <v>3500</v>
      </c>
      <c r="Q128" s="66"/>
      <c r="R128" s="66"/>
      <c r="S128" s="214"/>
      <c r="T128" s="219">
        <f t="shared" si="3"/>
        <v>3500</v>
      </c>
    </row>
    <row r="129" spans="1:20" ht="22.5">
      <c r="A129" s="17" t="s">
        <v>216</v>
      </c>
      <c r="B129" s="73">
        <v>1</v>
      </c>
      <c r="C129" s="67"/>
      <c r="D129" s="212">
        <v>12</v>
      </c>
      <c r="E129" s="218">
        <f t="shared" si="2"/>
        <v>42000</v>
      </c>
      <c r="F129" s="60" t="s">
        <v>166</v>
      </c>
      <c r="G129" s="66"/>
      <c r="H129" s="66"/>
      <c r="I129" s="66"/>
      <c r="J129" s="66"/>
      <c r="K129" s="66"/>
      <c r="L129" s="66"/>
      <c r="M129" s="66"/>
      <c r="N129" s="66"/>
      <c r="O129" s="66"/>
      <c r="P129" s="64">
        <v>3500</v>
      </c>
      <c r="Q129" s="66"/>
      <c r="R129" s="66"/>
      <c r="S129" s="214"/>
      <c r="T129" s="219">
        <f t="shared" si="3"/>
        <v>3500</v>
      </c>
    </row>
    <row r="130" spans="1:20" ht="22.5">
      <c r="A130" s="17" t="s">
        <v>216</v>
      </c>
      <c r="B130" s="73">
        <v>1</v>
      </c>
      <c r="C130" s="67"/>
      <c r="D130" s="212">
        <v>12</v>
      </c>
      <c r="E130" s="218">
        <f t="shared" si="2"/>
        <v>42000</v>
      </c>
      <c r="F130" s="60" t="s">
        <v>166</v>
      </c>
      <c r="G130" s="66"/>
      <c r="H130" s="66"/>
      <c r="I130" s="66"/>
      <c r="J130" s="66"/>
      <c r="K130" s="66"/>
      <c r="L130" s="66"/>
      <c r="M130" s="66"/>
      <c r="N130" s="66"/>
      <c r="O130" s="66"/>
      <c r="P130" s="64">
        <v>3500</v>
      </c>
      <c r="Q130" s="66"/>
      <c r="R130" s="66"/>
      <c r="S130" s="214"/>
      <c r="T130" s="219">
        <f t="shared" si="3"/>
        <v>3500</v>
      </c>
    </row>
    <row r="131" spans="1:20" ht="22.5">
      <c r="A131" s="17" t="s">
        <v>216</v>
      </c>
      <c r="B131" s="73">
        <v>1</v>
      </c>
      <c r="C131" s="67"/>
      <c r="D131" s="212">
        <v>12</v>
      </c>
      <c r="E131" s="218">
        <f t="shared" si="2"/>
        <v>42000</v>
      </c>
      <c r="F131" s="60" t="s">
        <v>166</v>
      </c>
      <c r="G131" s="66"/>
      <c r="H131" s="66"/>
      <c r="I131" s="66"/>
      <c r="J131" s="66"/>
      <c r="K131" s="66"/>
      <c r="L131" s="66"/>
      <c r="M131" s="66"/>
      <c r="N131" s="66"/>
      <c r="O131" s="66"/>
      <c r="P131" s="64">
        <v>3500</v>
      </c>
      <c r="Q131" s="66"/>
      <c r="R131" s="66"/>
      <c r="S131" s="214"/>
      <c r="T131" s="219">
        <f t="shared" si="3"/>
        <v>3500</v>
      </c>
    </row>
    <row r="132" spans="1:20" ht="22.5">
      <c r="A132" s="17" t="s">
        <v>216</v>
      </c>
      <c r="B132" s="73">
        <v>1</v>
      </c>
      <c r="C132" s="67"/>
      <c r="D132" s="212">
        <v>12</v>
      </c>
      <c r="E132" s="218">
        <f t="shared" si="2"/>
        <v>42000</v>
      </c>
      <c r="F132" s="60" t="s">
        <v>166</v>
      </c>
      <c r="G132" s="66"/>
      <c r="H132" s="66"/>
      <c r="I132" s="66"/>
      <c r="J132" s="66"/>
      <c r="K132" s="66"/>
      <c r="L132" s="66"/>
      <c r="M132" s="66"/>
      <c r="N132" s="66"/>
      <c r="O132" s="66"/>
      <c r="P132" s="64">
        <v>3500</v>
      </c>
      <c r="Q132" s="66"/>
      <c r="R132" s="66"/>
      <c r="S132" s="214"/>
      <c r="T132" s="219">
        <f t="shared" si="3"/>
        <v>3500</v>
      </c>
    </row>
    <row r="133" spans="1:20" ht="22.5">
      <c r="A133" s="17" t="s">
        <v>216</v>
      </c>
      <c r="B133" s="73">
        <v>1</v>
      </c>
      <c r="C133" s="67"/>
      <c r="D133" s="212">
        <v>12</v>
      </c>
      <c r="E133" s="218">
        <f t="shared" si="2"/>
        <v>42000</v>
      </c>
      <c r="F133" s="60" t="s">
        <v>166</v>
      </c>
      <c r="G133" s="66"/>
      <c r="H133" s="66"/>
      <c r="I133" s="66"/>
      <c r="J133" s="66"/>
      <c r="K133" s="66"/>
      <c r="L133" s="66"/>
      <c r="M133" s="66"/>
      <c r="N133" s="66"/>
      <c r="O133" s="66"/>
      <c r="P133" s="64">
        <v>3500</v>
      </c>
      <c r="Q133" s="66"/>
      <c r="R133" s="66"/>
      <c r="S133" s="214"/>
      <c r="T133" s="219">
        <f t="shared" si="3"/>
        <v>3500</v>
      </c>
    </row>
    <row r="134" spans="1:20" ht="22.5">
      <c r="A134" s="17" t="s">
        <v>216</v>
      </c>
      <c r="B134" s="73">
        <v>1</v>
      </c>
      <c r="C134" s="67"/>
      <c r="D134" s="212">
        <v>12</v>
      </c>
      <c r="E134" s="218">
        <f t="shared" si="2"/>
        <v>42000</v>
      </c>
      <c r="F134" s="60" t="s">
        <v>166</v>
      </c>
      <c r="G134" s="66"/>
      <c r="H134" s="66"/>
      <c r="I134" s="66"/>
      <c r="J134" s="66"/>
      <c r="K134" s="66"/>
      <c r="L134" s="66"/>
      <c r="M134" s="66"/>
      <c r="N134" s="66"/>
      <c r="O134" s="66"/>
      <c r="P134" s="64">
        <v>3500</v>
      </c>
      <c r="Q134" s="66"/>
      <c r="R134" s="66"/>
      <c r="S134" s="214"/>
      <c r="T134" s="219">
        <f t="shared" si="3"/>
        <v>3500</v>
      </c>
    </row>
    <row r="135" spans="1:20" ht="22.5">
      <c r="A135" s="17" t="s">
        <v>216</v>
      </c>
      <c r="B135" s="73">
        <v>1</v>
      </c>
      <c r="C135" s="67"/>
      <c r="D135" s="212">
        <v>12</v>
      </c>
      <c r="E135" s="218">
        <f t="shared" ref="E135:E198" si="4">T135*12</f>
        <v>42000</v>
      </c>
      <c r="F135" s="60" t="s">
        <v>166</v>
      </c>
      <c r="G135" s="66"/>
      <c r="H135" s="66"/>
      <c r="I135" s="66"/>
      <c r="J135" s="66"/>
      <c r="K135" s="66"/>
      <c r="L135" s="66"/>
      <c r="M135" s="66"/>
      <c r="N135" s="66"/>
      <c r="O135" s="66"/>
      <c r="P135" s="64">
        <v>3500</v>
      </c>
      <c r="Q135" s="66"/>
      <c r="R135" s="66"/>
      <c r="S135" s="214"/>
      <c r="T135" s="219">
        <f t="shared" si="3"/>
        <v>3500</v>
      </c>
    </row>
    <row r="136" spans="1:20" ht="22.5">
      <c r="A136" s="17" t="s">
        <v>216</v>
      </c>
      <c r="B136" s="73">
        <v>1</v>
      </c>
      <c r="C136" s="67"/>
      <c r="D136" s="212">
        <v>12</v>
      </c>
      <c r="E136" s="218">
        <f t="shared" si="4"/>
        <v>42000</v>
      </c>
      <c r="F136" s="60" t="s">
        <v>166</v>
      </c>
      <c r="G136" s="66"/>
      <c r="H136" s="66"/>
      <c r="I136" s="66"/>
      <c r="J136" s="66"/>
      <c r="K136" s="66"/>
      <c r="L136" s="66"/>
      <c r="M136" s="66"/>
      <c r="N136" s="66"/>
      <c r="O136" s="66"/>
      <c r="P136" s="64">
        <v>3500</v>
      </c>
      <c r="Q136" s="66"/>
      <c r="R136" s="66"/>
      <c r="S136" s="214"/>
      <c r="T136" s="219">
        <f t="shared" ref="T136:T199" si="5">SUM(G136:S136)</f>
        <v>3500</v>
      </c>
    </row>
    <row r="137" spans="1:20" ht="22.5">
      <c r="A137" s="17" t="s">
        <v>216</v>
      </c>
      <c r="B137" s="73">
        <v>1</v>
      </c>
      <c r="C137" s="67"/>
      <c r="D137" s="212">
        <v>12</v>
      </c>
      <c r="E137" s="218">
        <f t="shared" si="4"/>
        <v>42000</v>
      </c>
      <c r="F137" s="60" t="s">
        <v>166</v>
      </c>
      <c r="G137" s="66"/>
      <c r="H137" s="66"/>
      <c r="I137" s="66"/>
      <c r="J137" s="66"/>
      <c r="K137" s="66"/>
      <c r="L137" s="66"/>
      <c r="M137" s="66"/>
      <c r="N137" s="66"/>
      <c r="O137" s="66"/>
      <c r="P137" s="64">
        <v>3500</v>
      </c>
      <c r="Q137" s="66"/>
      <c r="R137" s="66"/>
      <c r="S137" s="214"/>
      <c r="T137" s="219">
        <f t="shared" si="5"/>
        <v>3500</v>
      </c>
    </row>
    <row r="138" spans="1:20" ht="22.5">
      <c r="A138" s="17" t="s">
        <v>216</v>
      </c>
      <c r="B138" s="73">
        <v>1</v>
      </c>
      <c r="C138" s="67"/>
      <c r="D138" s="212">
        <v>12</v>
      </c>
      <c r="E138" s="218">
        <f t="shared" si="4"/>
        <v>42000</v>
      </c>
      <c r="F138" s="60" t="s">
        <v>166</v>
      </c>
      <c r="G138" s="66"/>
      <c r="H138" s="66"/>
      <c r="I138" s="66"/>
      <c r="J138" s="66"/>
      <c r="K138" s="66"/>
      <c r="L138" s="66"/>
      <c r="M138" s="66"/>
      <c r="N138" s="66"/>
      <c r="O138" s="66"/>
      <c r="P138" s="64">
        <v>3500</v>
      </c>
      <c r="Q138" s="66"/>
      <c r="R138" s="66"/>
      <c r="S138" s="214"/>
      <c r="T138" s="219">
        <f t="shared" si="5"/>
        <v>3500</v>
      </c>
    </row>
    <row r="139" spans="1:20" ht="22.5">
      <c r="A139" s="17" t="s">
        <v>216</v>
      </c>
      <c r="B139" s="73">
        <v>1</v>
      </c>
      <c r="C139" s="67"/>
      <c r="D139" s="212">
        <v>12</v>
      </c>
      <c r="E139" s="218">
        <f t="shared" si="4"/>
        <v>42000</v>
      </c>
      <c r="F139" s="60" t="s">
        <v>166</v>
      </c>
      <c r="G139" s="66"/>
      <c r="H139" s="66"/>
      <c r="I139" s="66"/>
      <c r="J139" s="66"/>
      <c r="K139" s="66"/>
      <c r="L139" s="66"/>
      <c r="M139" s="66"/>
      <c r="N139" s="66"/>
      <c r="O139" s="66"/>
      <c r="P139" s="64">
        <v>3500</v>
      </c>
      <c r="Q139" s="66"/>
      <c r="R139" s="66"/>
      <c r="S139" s="214"/>
      <c r="T139" s="219">
        <f t="shared" si="5"/>
        <v>3500</v>
      </c>
    </row>
    <row r="140" spans="1:20" ht="22.5">
      <c r="A140" s="17" t="s">
        <v>216</v>
      </c>
      <c r="B140" s="73">
        <v>1</v>
      </c>
      <c r="C140" s="67"/>
      <c r="D140" s="212">
        <v>12</v>
      </c>
      <c r="E140" s="218">
        <f t="shared" si="4"/>
        <v>42000</v>
      </c>
      <c r="F140" s="60" t="s">
        <v>166</v>
      </c>
      <c r="G140" s="66"/>
      <c r="H140" s="66"/>
      <c r="I140" s="66"/>
      <c r="J140" s="66"/>
      <c r="K140" s="66"/>
      <c r="L140" s="66"/>
      <c r="M140" s="66"/>
      <c r="N140" s="66"/>
      <c r="O140" s="66"/>
      <c r="P140" s="64">
        <v>3500</v>
      </c>
      <c r="Q140" s="66"/>
      <c r="R140" s="66"/>
      <c r="S140" s="214"/>
      <c r="T140" s="219">
        <f t="shared" si="5"/>
        <v>3500</v>
      </c>
    </row>
    <row r="141" spans="1:20" ht="22.5">
      <c r="A141" s="17" t="s">
        <v>216</v>
      </c>
      <c r="B141" s="73">
        <v>1</v>
      </c>
      <c r="C141" s="67"/>
      <c r="D141" s="212">
        <v>12</v>
      </c>
      <c r="E141" s="218">
        <f t="shared" si="4"/>
        <v>42000</v>
      </c>
      <c r="F141" s="60" t="s">
        <v>166</v>
      </c>
      <c r="G141" s="66"/>
      <c r="H141" s="66"/>
      <c r="I141" s="66"/>
      <c r="J141" s="66"/>
      <c r="K141" s="66"/>
      <c r="L141" s="66"/>
      <c r="M141" s="66"/>
      <c r="N141" s="66"/>
      <c r="O141" s="66"/>
      <c r="P141" s="64">
        <v>3500</v>
      </c>
      <c r="Q141" s="66"/>
      <c r="R141" s="66"/>
      <c r="S141" s="214"/>
      <c r="T141" s="219">
        <f t="shared" si="5"/>
        <v>3500</v>
      </c>
    </row>
    <row r="142" spans="1:20" ht="22.5">
      <c r="A142" s="17" t="s">
        <v>216</v>
      </c>
      <c r="B142" s="73">
        <v>1</v>
      </c>
      <c r="C142" s="67"/>
      <c r="D142" s="212">
        <v>12</v>
      </c>
      <c r="E142" s="218">
        <f t="shared" si="4"/>
        <v>42000</v>
      </c>
      <c r="F142" s="60" t="s">
        <v>166</v>
      </c>
      <c r="G142" s="66"/>
      <c r="H142" s="66"/>
      <c r="I142" s="66"/>
      <c r="J142" s="66"/>
      <c r="K142" s="66"/>
      <c r="L142" s="66"/>
      <c r="M142" s="66"/>
      <c r="N142" s="66"/>
      <c r="O142" s="66"/>
      <c r="P142" s="64">
        <v>3500</v>
      </c>
      <c r="Q142" s="66"/>
      <c r="R142" s="66"/>
      <c r="S142" s="214"/>
      <c r="T142" s="219">
        <f t="shared" si="5"/>
        <v>3500</v>
      </c>
    </row>
    <row r="143" spans="1:20" ht="22.5">
      <c r="A143" s="17" t="s">
        <v>216</v>
      </c>
      <c r="B143" s="73">
        <v>1</v>
      </c>
      <c r="C143" s="67"/>
      <c r="D143" s="212">
        <v>12</v>
      </c>
      <c r="E143" s="218">
        <f t="shared" si="4"/>
        <v>42000</v>
      </c>
      <c r="F143" s="60" t="s">
        <v>166</v>
      </c>
      <c r="G143" s="66"/>
      <c r="H143" s="66"/>
      <c r="I143" s="66"/>
      <c r="J143" s="66"/>
      <c r="K143" s="66"/>
      <c r="L143" s="66"/>
      <c r="M143" s="66"/>
      <c r="N143" s="66"/>
      <c r="O143" s="66"/>
      <c r="P143" s="64">
        <v>3500</v>
      </c>
      <c r="Q143" s="66"/>
      <c r="R143" s="66"/>
      <c r="S143" s="214"/>
      <c r="T143" s="219">
        <f t="shared" si="5"/>
        <v>3500</v>
      </c>
    </row>
    <row r="144" spans="1:20" ht="22.5">
      <c r="A144" s="17" t="s">
        <v>216</v>
      </c>
      <c r="B144" s="73">
        <v>1</v>
      </c>
      <c r="C144" s="67"/>
      <c r="D144" s="212">
        <v>12</v>
      </c>
      <c r="E144" s="218">
        <f t="shared" si="4"/>
        <v>42000</v>
      </c>
      <c r="F144" s="60" t="s">
        <v>166</v>
      </c>
      <c r="G144" s="66"/>
      <c r="H144" s="66"/>
      <c r="I144" s="66"/>
      <c r="J144" s="66"/>
      <c r="K144" s="66"/>
      <c r="L144" s="66"/>
      <c r="M144" s="66"/>
      <c r="N144" s="66"/>
      <c r="O144" s="66"/>
      <c r="P144" s="64">
        <v>3500</v>
      </c>
      <c r="Q144" s="66"/>
      <c r="R144" s="66"/>
      <c r="S144" s="214"/>
      <c r="T144" s="219">
        <f t="shared" si="5"/>
        <v>3500</v>
      </c>
    </row>
    <row r="145" spans="1:20" ht="22.5">
      <c r="A145" s="17" t="s">
        <v>216</v>
      </c>
      <c r="B145" s="73">
        <v>1</v>
      </c>
      <c r="C145" s="67"/>
      <c r="D145" s="212">
        <v>12</v>
      </c>
      <c r="E145" s="218">
        <f t="shared" si="4"/>
        <v>42000</v>
      </c>
      <c r="F145" s="60" t="s">
        <v>166</v>
      </c>
      <c r="G145" s="66"/>
      <c r="H145" s="66"/>
      <c r="I145" s="66"/>
      <c r="J145" s="66"/>
      <c r="K145" s="66"/>
      <c r="L145" s="66"/>
      <c r="M145" s="66"/>
      <c r="N145" s="66"/>
      <c r="O145" s="66"/>
      <c r="P145" s="64">
        <v>3500</v>
      </c>
      <c r="Q145" s="66"/>
      <c r="R145" s="66"/>
      <c r="S145" s="214"/>
      <c r="T145" s="219">
        <f t="shared" si="5"/>
        <v>3500</v>
      </c>
    </row>
    <row r="146" spans="1:20" ht="22.5">
      <c r="A146" s="17" t="s">
        <v>216</v>
      </c>
      <c r="B146" s="73">
        <v>1</v>
      </c>
      <c r="C146" s="67"/>
      <c r="D146" s="212">
        <v>12</v>
      </c>
      <c r="E146" s="218">
        <f t="shared" si="4"/>
        <v>42000</v>
      </c>
      <c r="F146" s="60" t="s">
        <v>166</v>
      </c>
      <c r="G146" s="66"/>
      <c r="H146" s="66"/>
      <c r="I146" s="66"/>
      <c r="J146" s="66"/>
      <c r="K146" s="66"/>
      <c r="L146" s="66"/>
      <c r="M146" s="66"/>
      <c r="N146" s="66"/>
      <c r="O146" s="66"/>
      <c r="P146" s="64">
        <v>3500</v>
      </c>
      <c r="Q146" s="66"/>
      <c r="R146" s="66"/>
      <c r="S146" s="214"/>
      <c r="T146" s="219">
        <f t="shared" si="5"/>
        <v>3500</v>
      </c>
    </row>
    <row r="147" spans="1:20" ht="22.5">
      <c r="A147" s="17" t="s">
        <v>216</v>
      </c>
      <c r="B147" s="73">
        <v>1</v>
      </c>
      <c r="C147" s="67"/>
      <c r="D147" s="212">
        <v>12</v>
      </c>
      <c r="E147" s="218">
        <f t="shared" si="4"/>
        <v>42000</v>
      </c>
      <c r="F147" s="60" t="s">
        <v>166</v>
      </c>
      <c r="G147" s="66"/>
      <c r="H147" s="66"/>
      <c r="I147" s="66"/>
      <c r="J147" s="66"/>
      <c r="K147" s="66"/>
      <c r="L147" s="66"/>
      <c r="M147" s="66"/>
      <c r="N147" s="66"/>
      <c r="O147" s="66"/>
      <c r="P147" s="64">
        <v>3500</v>
      </c>
      <c r="Q147" s="66"/>
      <c r="R147" s="66"/>
      <c r="S147" s="214"/>
      <c r="T147" s="219">
        <f t="shared" si="5"/>
        <v>3500</v>
      </c>
    </row>
    <row r="148" spans="1:20" ht="22.5">
      <c r="A148" s="17" t="s">
        <v>216</v>
      </c>
      <c r="B148" s="73">
        <v>1</v>
      </c>
      <c r="C148" s="67"/>
      <c r="D148" s="212">
        <v>12</v>
      </c>
      <c r="E148" s="218">
        <f t="shared" si="4"/>
        <v>42000</v>
      </c>
      <c r="F148" s="60" t="s">
        <v>166</v>
      </c>
      <c r="G148" s="66"/>
      <c r="H148" s="66"/>
      <c r="I148" s="66"/>
      <c r="J148" s="66"/>
      <c r="K148" s="66"/>
      <c r="L148" s="66"/>
      <c r="M148" s="66"/>
      <c r="N148" s="66"/>
      <c r="O148" s="66"/>
      <c r="P148" s="64">
        <v>3500</v>
      </c>
      <c r="Q148" s="66"/>
      <c r="R148" s="66"/>
      <c r="S148" s="214"/>
      <c r="T148" s="219">
        <f t="shared" si="5"/>
        <v>3500</v>
      </c>
    </row>
    <row r="149" spans="1:20" ht="22.5">
      <c r="A149" s="17" t="s">
        <v>216</v>
      </c>
      <c r="B149" s="73">
        <v>1</v>
      </c>
      <c r="C149" s="67"/>
      <c r="D149" s="212">
        <v>12</v>
      </c>
      <c r="E149" s="218">
        <f t="shared" si="4"/>
        <v>42000</v>
      </c>
      <c r="F149" s="60" t="s">
        <v>166</v>
      </c>
      <c r="G149" s="66"/>
      <c r="H149" s="66"/>
      <c r="I149" s="66"/>
      <c r="J149" s="66"/>
      <c r="K149" s="66"/>
      <c r="L149" s="66"/>
      <c r="M149" s="66"/>
      <c r="N149" s="66"/>
      <c r="O149" s="66"/>
      <c r="P149" s="64">
        <v>3500</v>
      </c>
      <c r="Q149" s="66"/>
      <c r="R149" s="66"/>
      <c r="S149" s="214"/>
      <c r="T149" s="219">
        <f t="shared" si="5"/>
        <v>3500</v>
      </c>
    </row>
    <row r="150" spans="1:20" ht="22.5">
      <c r="A150" s="17" t="s">
        <v>216</v>
      </c>
      <c r="B150" s="73">
        <v>1</v>
      </c>
      <c r="C150" s="67"/>
      <c r="D150" s="212">
        <v>12</v>
      </c>
      <c r="E150" s="218">
        <f t="shared" si="4"/>
        <v>42000</v>
      </c>
      <c r="F150" s="60" t="s">
        <v>166</v>
      </c>
      <c r="G150" s="66"/>
      <c r="H150" s="66"/>
      <c r="I150" s="66"/>
      <c r="J150" s="66"/>
      <c r="K150" s="66"/>
      <c r="L150" s="66"/>
      <c r="M150" s="66"/>
      <c r="N150" s="66"/>
      <c r="O150" s="66"/>
      <c r="P150" s="64">
        <v>3500</v>
      </c>
      <c r="Q150" s="66"/>
      <c r="R150" s="66"/>
      <c r="S150" s="214"/>
      <c r="T150" s="219">
        <f t="shared" si="5"/>
        <v>3500</v>
      </c>
    </row>
    <row r="151" spans="1:20" ht="22.5">
      <c r="A151" s="17" t="s">
        <v>216</v>
      </c>
      <c r="B151" s="73">
        <v>1</v>
      </c>
      <c r="C151" s="67"/>
      <c r="D151" s="212">
        <v>12</v>
      </c>
      <c r="E151" s="218">
        <f t="shared" si="4"/>
        <v>42000</v>
      </c>
      <c r="F151" s="60" t="s">
        <v>166</v>
      </c>
      <c r="G151" s="66"/>
      <c r="H151" s="66"/>
      <c r="I151" s="66"/>
      <c r="J151" s="66"/>
      <c r="K151" s="66"/>
      <c r="L151" s="66"/>
      <c r="M151" s="66"/>
      <c r="N151" s="66"/>
      <c r="O151" s="66"/>
      <c r="P151" s="64">
        <v>3500</v>
      </c>
      <c r="Q151" s="66"/>
      <c r="R151" s="66"/>
      <c r="S151" s="214"/>
      <c r="T151" s="219">
        <f t="shared" si="5"/>
        <v>3500</v>
      </c>
    </row>
    <row r="152" spans="1:20" ht="22.5">
      <c r="A152" s="17" t="s">
        <v>216</v>
      </c>
      <c r="B152" s="73">
        <v>1</v>
      </c>
      <c r="C152" s="67"/>
      <c r="D152" s="212">
        <v>12</v>
      </c>
      <c r="E152" s="218">
        <f t="shared" si="4"/>
        <v>42000</v>
      </c>
      <c r="F152" s="60" t="s">
        <v>166</v>
      </c>
      <c r="G152" s="66"/>
      <c r="H152" s="66"/>
      <c r="I152" s="66"/>
      <c r="J152" s="66"/>
      <c r="K152" s="66"/>
      <c r="L152" s="66"/>
      <c r="M152" s="66"/>
      <c r="N152" s="66"/>
      <c r="O152" s="66"/>
      <c r="P152" s="64">
        <v>3500</v>
      </c>
      <c r="Q152" s="66"/>
      <c r="R152" s="66"/>
      <c r="S152" s="214"/>
      <c r="T152" s="219">
        <f t="shared" si="5"/>
        <v>3500</v>
      </c>
    </row>
    <row r="153" spans="1:20" ht="22.5">
      <c r="A153" s="17" t="s">
        <v>216</v>
      </c>
      <c r="B153" s="73">
        <v>1</v>
      </c>
      <c r="C153" s="67"/>
      <c r="D153" s="212">
        <v>12</v>
      </c>
      <c r="E153" s="218">
        <f t="shared" si="4"/>
        <v>42000</v>
      </c>
      <c r="F153" s="60" t="s">
        <v>166</v>
      </c>
      <c r="G153" s="66"/>
      <c r="H153" s="66"/>
      <c r="I153" s="66"/>
      <c r="J153" s="66"/>
      <c r="K153" s="66"/>
      <c r="L153" s="66"/>
      <c r="M153" s="66"/>
      <c r="N153" s="66"/>
      <c r="O153" s="66"/>
      <c r="P153" s="64">
        <v>3500</v>
      </c>
      <c r="Q153" s="66"/>
      <c r="R153" s="66"/>
      <c r="S153" s="214"/>
      <c r="T153" s="219">
        <f t="shared" si="5"/>
        <v>3500</v>
      </c>
    </row>
    <row r="154" spans="1:20" ht="22.5">
      <c r="A154" s="17" t="s">
        <v>216</v>
      </c>
      <c r="B154" s="73">
        <v>1</v>
      </c>
      <c r="C154" s="67"/>
      <c r="D154" s="212">
        <v>12</v>
      </c>
      <c r="E154" s="218">
        <f t="shared" si="4"/>
        <v>42000</v>
      </c>
      <c r="F154" s="60" t="s">
        <v>166</v>
      </c>
      <c r="G154" s="66"/>
      <c r="H154" s="66"/>
      <c r="I154" s="66"/>
      <c r="J154" s="66"/>
      <c r="K154" s="66"/>
      <c r="L154" s="66"/>
      <c r="M154" s="66"/>
      <c r="N154" s="66"/>
      <c r="O154" s="66"/>
      <c r="P154" s="64">
        <v>3500</v>
      </c>
      <c r="Q154" s="66"/>
      <c r="R154" s="66"/>
      <c r="S154" s="214"/>
      <c r="T154" s="219">
        <f t="shared" si="5"/>
        <v>3500</v>
      </c>
    </row>
    <row r="155" spans="1:20" ht="22.5">
      <c r="A155" s="17" t="s">
        <v>216</v>
      </c>
      <c r="B155" s="73">
        <v>1</v>
      </c>
      <c r="C155" s="67"/>
      <c r="D155" s="212">
        <v>12</v>
      </c>
      <c r="E155" s="218">
        <f t="shared" si="4"/>
        <v>42000</v>
      </c>
      <c r="F155" s="60" t="s">
        <v>166</v>
      </c>
      <c r="G155" s="66"/>
      <c r="H155" s="66"/>
      <c r="I155" s="66"/>
      <c r="J155" s="66"/>
      <c r="K155" s="66"/>
      <c r="L155" s="66"/>
      <c r="M155" s="66"/>
      <c r="N155" s="66"/>
      <c r="O155" s="66"/>
      <c r="P155" s="64">
        <v>3500</v>
      </c>
      <c r="Q155" s="66"/>
      <c r="R155" s="66"/>
      <c r="S155" s="214"/>
      <c r="T155" s="219">
        <f t="shared" si="5"/>
        <v>3500</v>
      </c>
    </row>
    <row r="156" spans="1:20" ht="22.5">
      <c r="A156" s="17" t="s">
        <v>216</v>
      </c>
      <c r="B156" s="73">
        <v>1</v>
      </c>
      <c r="C156" s="67"/>
      <c r="D156" s="212">
        <v>12</v>
      </c>
      <c r="E156" s="218">
        <f t="shared" si="4"/>
        <v>42000</v>
      </c>
      <c r="F156" s="60" t="s">
        <v>166</v>
      </c>
      <c r="G156" s="66"/>
      <c r="H156" s="66"/>
      <c r="I156" s="66"/>
      <c r="J156" s="66"/>
      <c r="K156" s="66"/>
      <c r="L156" s="66"/>
      <c r="M156" s="66"/>
      <c r="N156" s="66"/>
      <c r="O156" s="66"/>
      <c r="P156" s="64">
        <v>3500</v>
      </c>
      <c r="Q156" s="66"/>
      <c r="R156" s="66"/>
      <c r="S156" s="214"/>
      <c r="T156" s="219">
        <f t="shared" si="5"/>
        <v>3500</v>
      </c>
    </row>
    <row r="157" spans="1:20" ht="22.5">
      <c r="A157" s="17" t="s">
        <v>216</v>
      </c>
      <c r="B157" s="73">
        <v>1</v>
      </c>
      <c r="C157" s="67"/>
      <c r="D157" s="212">
        <v>12</v>
      </c>
      <c r="E157" s="218">
        <f t="shared" si="4"/>
        <v>42000</v>
      </c>
      <c r="F157" s="60" t="s">
        <v>166</v>
      </c>
      <c r="G157" s="66"/>
      <c r="H157" s="66"/>
      <c r="I157" s="66"/>
      <c r="J157" s="66"/>
      <c r="K157" s="66"/>
      <c r="L157" s="66"/>
      <c r="M157" s="66"/>
      <c r="N157" s="66"/>
      <c r="O157" s="66"/>
      <c r="P157" s="64">
        <v>3500</v>
      </c>
      <c r="Q157" s="66"/>
      <c r="R157" s="66"/>
      <c r="S157" s="214"/>
      <c r="T157" s="219">
        <f t="shared" si="5"/>
        <v>3500</v>
      </c>
    </row>
    <row r="158" spans="1:20" ht="22.5">
      <c r="A158" s="17" t="s">
        <v>216</v>
      </c>
      <c r="B158" s="73">
        <v>1</v>
      </c>
      <c r="C158" s="67"/>
      <c r="D158" s="212">
        <v>12</v>
      </c>
      <c r="E158" s="218">
        <f t="shared" si="4"/>
        <v>42000</v>
      </c>
      <c r="F158" s="60" t="s">
        <v>166</v>
      </c>
      <c r="G158" s="66"/>
      <c r="H158" s="66"/>
      <c r="I158" s="66"/>
      <c r="J158" s="66"/>
      <c r="K158" s="66"/>
      <c r="L158" s="66"/>
      <c r="M158" s="66"/>
      <c r="N158" s="66"/>
      <c r="O158" s="66"/>
      <c r="P158" s="64">
        <v>3500</v>
      </c>
      <c r="Q158" s="66"/>
      <c r="R158" s="66"/>
      <c r="S158" s="214"/>
      <c r="T158" s="219">
        <f t="shared" si="5"/>
        <v>3500</v>
      </c>
    </row>
    <row r="159" spans="1:20" ht="22.5">
      <c r="A159" s="17" t="s">
        <v>216</v>
      </c>
      <c r="B159" s="73">
        <v>1</v>
      </c>
      <c r="C159" s="67"/>
      <c r="D159" s="212">
        <v>12</v>
      </c>
      <c r="E159" s="218">
        <f t="shared" si="4"/>
        <v>42000</v>
      </c>
      <c r="F159" s="60" t="s">
        <v>166</v>
      </c>
      <c r="G159" s="66"/>
      <c r="H159" s="66"/>
      <c r="I159" s="66"/>
      <c r="J159" s="66"/>
      <c r="K159" s="66"/>
      <c r="L159" s="66"/>
      <c r="M159" s="66"/>
      <c r="N159" s="66"/>
      <c r="O159" s="66"/>
      <c r="P159" s="64">
        <v>3500</v>
      </c>
      <c r="Q159" s="66"/>
      <c r="R159" s="66"/>
      <c r="S159" s="214"/>
      <c r="T159" s="219">
        <f t="shared" si="5"/>
        <v>3500</v>
      </c>
    </row>
    <row r="160" spans="1:20" ht="22.5">
      <c r="A160" s="17" t="s">
        <v>216</v>
      </c>
      <c r="B160" s="73">
        <v>1</v>
      </c>
      <c r="C160" s="67"/>
      <c r="D160" s="212">
        <v>12</v>
      </c>
      <c r="E160" s="218">
        <f t="shared" si="4"/>
        <v>42000</v>
      </c>
      <c r="F160" s="60" t="s">
        <v>166</v>
      </c>
      <c r="G160" s="66"/>
      <c r="H160" s="66"/>
      <c r="I160" s="66"/>
      <c r="J160" s="66"/>
      <c r="K160" s="66"/>
      <c r="L160" s="66"/>
      <c r="M160" s="66"/>
      <c r="N160" s="66"/>
      <c r="O160" s="66"/>
      <c r="P160" s="64">
        <v>3500</v>
      </c>
      <c r="Q160" s="66"/>
      <c r="R160" s="66"/>
      <c r="S160" s="214"/>
      <c r="T160" s="219">
        <f t="shared" si="5"/>
        <v>3500</v>
      </c>
    </row>
    <row r="161" spans="1:20" ht="22.5">
      <c r="A161" s="17" t="s">
        <v>216</v>
      </c>
      <c r="B161" s="73">
        <v>1</v>
      </c>
      <c r="C161" s="67"/>
      <c r="D161" s="212">
        <v>12</v>
      </c>
      <c r="E161" s="218">
        <f t="shared" si="4"/>
        <v>48000</v>
      </c>
      <c r="F161" s="60" t="s">
        <v>166</v>
      </c>
      <c r="G161" s="66"/>
      <c r="H161" s="66"/>
      <c r="I161" s="66"/>
      <c r="J161" s="66"/>
      <c r="K161" s="66"/>
      <c r="L161" s="66"/>
      <c r="M161" s="66"/>
      <c r="N161" s="66"/>
      <c r="O161" s="66"/>
      <c r="P161" s="64">
        <v>4000</v>
      </c>
      <c r="Q161" s="66"/>
      <c r="R161" s="66"/>
      <c r="S161" s="214"/>
      <c r="T161" s="219">
        <f t="shared" si="5"/>
        <v>4000</v>
      </c>
    </row>
    <row r="162" spans="1:20" ht="22.5">
      <c r="A162" s="17" t="s">
        <v>216</v>
      </c>
      <c r="B162" s="73">
        <v>1</v>
      </c>
      <c r="C162" s="67"/>
      <c r="D162" s="212">
        <v>12</v>
      </c>
      <c r="E162" s="218">
        <f t="shared" si="4"/>
        <v>42000</v>
      </c>
      <c r="F162" s="60" t="s">
        <v>166</v>
      </c>
      <c r="G162" s="66"/>
      <c r="H162" s="66"/>
      <c r="I162" s="66"/>
      <c r="J162" s="66"/>
      <c r="K162" s="66"/>
      <c r="L162" s="66"/>
      <c r="M162" s="66"/>
      <c r="N162" s="66"/>
      <c r="O162" s="66"/>
      <c r="P162" s="64">
        <v>3500</v>
      </c>
      <c r="Q162" s="66"/>
      <c r="R162" s="66"/>
      <c r="S162" s="214"/>
      <c r="T162" s="219">
        <f t="shared" si="5"/>
        <v>3500</v>
      </c>
    </row>
    <row r="163" spans="1:20" ht="33.75">
      <c r="A163" s="17" t="s">
        <v>217</v>
      </c>
      <c r="B163" s="73">
        <v>1</v>
      </c>
      <c r="C163" s="67"/>
      <c r="D163" s="212">
        <v>12</v>
      </c>
      <c r="E163" s="218">
        <f t="shared" si="4"/>
        <v>60000</v>
      </c>
      <c r="F163" s="60" t="s">
        <v>166</v>
      </c>
      <c r="G163" s="66"/>
      <c r="H163" s="66"/>
      <c r="I163" s="66"/>
      <c r="J163" s="66"/>
      <c r="K163" s="66"/>
      <c r="L163" s="66"/>
      <c r="M163" s="66"/>
      <c r="N163" s="66"/>
      <c r="O163" s="66"/>
      <c r="P163" s="64">
        <v>5000</v>
      </c>
      <c r="Q163" s="66"/>
      <c r="R163" s="66"/>
      <c r="S163" s="214"/>
      <c r="T163" s="219">
        <f t="shared" si="5"/>
        <v>5000</v>
      </c>
    </row>
    <row r="164" spans="1:20" ht="33.75">
      <c r="A164" s="17" t="s">
        <v>218</v>
      </c>
      <c r="B164" s="73">
        <v>1</v>
      </c>
      <c r="C164" s="67"/>
      <c r="D164" s="212">
        <v>12</v>
      </c>
      <c r="E164" s="218">
        <f t="shared" si="4"/>
        <v>48000</v>
      </c>
      <c r="F164" s="60" t="s">
        <v>166</v>
      </c>
      <c r="G164" s="66"/>
      <c r="H164" s="66"/>
      <c r="I164" s="66"/>
      <c r="J164" s="66"/>
      <c r="K164" s="66"/>
      <c r="L164" s="66"/>
      <c r="M164" s="66"/>
      <c r="N164" s="66"/>
      <c r="O164" s="66"/>
      <c r="P164" s="64">
        <v>4000</v>
      </c>
      <c r="Q164" s="66"/>
      <c r="R164" s="66"/>
      <c r="S164" s="214"/>
      <c r="T164" s="219">
        <f t="shared" si="5"/>
        <v>4000</v>
      </c>
    </row>
    <row r="165" spans="1:20" ht="33.75">
      <c r="A165" s="17" t="s">
        <v>218</v>
      </c>
      <c r="B165" s="73">
        <v>1</v>
      </c>
      <c r="C165" s="67"/>
      <c r="D165" s="212">
        <v>12</v>
      </c>
      <c r="E165" s="218">
        <f t="shared" si="4"/>
        <v>48000</v>
      </c>
      <c r="F165" s="60" t="s">
        <v>166</v>
      </c>
      <c r="G165" s="66"/>
      <c r="H165" s="66"/>
      <c r="I165" s="66"/>
      <c r="J165" s="66"/>
      <c r="K165" s="66"/>
      <c r="L165" s="66"/>
      <c r="M165" s="66"/>
      <c r="N165" s="66"/>
      <c r="O165" s="66"/>
      <c r="P165" s="64">
        <v>4000</v>
      </c>
      <c r="Q165" s="66"/>
      <c r="R165" s="66"/>
      <c r="S165" s="214"/>
      <c r="T165" s="219">
        <f t="shared" si="5"/>
        <v>4000</v>
      </c>
    </row>
    <row r="166" spans="1:20" ht="33.75">
      <c r="A166" s="17" t="s">
        <v>218</v>
      </c>
      <c r="B166" s="73">
        <v>1</v>
      </c>
      <c r="C166" s="67"/>
      <c r="D166" s="212">
        <v>12</v>
      </c>
      <c r="E166" s="218">
        <f t="shared" si="4"/>
        <v>48000</v>
      </c>
      <c r="F166" s="60" t="s">
        <v>166</v>
      </c>
      <c r="G166" s="66"/>
      <c r="H166" s="66"/>
      <c r="I166" s="66"/>
      <c r="J166" s="66"/>
      <c r="K166" s="66"/>
      <c r="L166" s="66"/>
      <c r="M166" s="66"/>
      <c r="N166" s="66"/>
      <c r="O166" s="66"/>
      <c r="P166" s="64">
        <v>4000</v>
      </c>
      <c r="Q166" s="66"/>
      <c r="R166" s="66"/>
      <c r="S166" s="214"/>
      <c r="T166" s="219">
        <f t="shared" si="5"/>
        <v>4000</v>
      </c>
    </row>
    <row r="167" spans="1:20" ht="33.75">
      <c r="A167" s="17" t="s">
        <v>218</v>
      </c>
      <c r="B167" s="73">
        <v>1</v>
      </c>
      <c r="C167" s="67"/>
      <c r="D167" s="212">
        <v>12</v>
      </c>
      <c r="E167" s="218">
        <f t="shared" si="4"/>
        <v>48000</v>
      </c>
      <c r="F167" s="60" t="s">
        <v>166</v>
      </c>
      <c r="G167" s="66"/>
      <c r="H167" s="66"/>
      <c r="I167" s="66"/>
      <c r="J167" s="66"/>
      <c r="K167" s="66"/>
      <c r="L167" s="66"/>
      <c r="M167" s="66"/>
      <c r="N167" s="66"/>
      <c r="O167" s="66"/>
      <c r="P167" s="64">
        <v>4000</v>
      </c>
      <c r="Q167" s="66"/>
      <c r="R167" s="66"/>
      <c r="S167" s="214"/>
      <c r="T167" s="219">
        <f t="shared" si="5"/>
        <v>4000</v>
      </c>
    </row>
    <row r="168" spans="1:20" ht="33.75">
      <c r="A168" s="17" t="s">
        <v>218</v>
      </c>
      <c r="B168" s="73">
        <v>1</v>
      </c>
      <c r="C168" s="67"/>
      <c r="D168" s="212">
        <v>12</v>
      </c>
      <c r="E168" s="218">
        <f t="shared" si="4"/>
        <v>48000</v>
      </c>
      <c r="F168" s="60" t="s">
        <v>166</v>
      </c>
      <c r="G168" s="66"/>
      <c r="H168" s="66"/>
      <c r="I168" s="66"/>
      <c r="J168" s="66"/>
      <c r="K168" s="66"/>
      <c r="L168" s="66"/>
      <c r="M168" s="66"/>
      <c r="N168" s="66"/>
      <c r="O168" s="66"/>
      <c r="P168" s="64">
        <v>4000</v>
      </c>
      <c r="Q168" s="66"/>
      <c r="R168" s="66"/>
      <c r="S168" s="214"/>
      <c r="T168" s="219">
        <f t="shared" si="5"/>
        <v>4000</v>
      </c>
    </row>
    <row r="169" spans="1:20" ht="33.75">
      <c r="A169" s="17" t="s">
        <v>218</v>
      </c>
      <c r="B169" s="73">
        <v>1</v>
      </c>
      <c r="C169" s="67"/>
      <c r="D169" s="212">
        <v>12</v>
      </c>
      <c r="E169" s="218">
        <f t="shared" si="4"/>
        <v>48000</v>
      </c>
      <c r="F169" s="60" t="s">
        <v>166</v>
      </c>
      <c r="G169" s="66"/>
      <c r="H169" s="66"/>
      <c r="I169" s="66"/>
      <c r="J169" s="66"/>
      <c r="K169" s="66"/>
      <c r="L169" s="66"/>
      <c r="M169" s="66"/>
      <c r="N169" s="66"/>
      <c r="O169" s="66"/>
      <c r="P169" s="64">
        <v>4000</v>
      </c>
      <c r="Q169" s="66"/>
      <c r="R169" s="66"/>
      <c r="S169" s="214"/>
      <c r="T169" s="219">
        <f t="shared" si="5"/>
        <v>4000</v>
      </c>
    </row>
    <row r="170" spans="1:20" ht="33.75">
      <c r="A170" s="17" t="s">
        <v>218</v>
      </c>
      <c r="B170" s="73">
        <v>1</v>
      </c>
      <c r="C170" s="67"/>
      <c r="D170" s="212">
        <v>12</v>
      </c>
      <c r="E170" s="218">
        <f t="shared" si="4"/>
        <v>48000</v>
      </c>
      <c r="F170" s="60" t="s">
        <v>166</v>
      </c>
      <c r="G170" s="66"/>
      <c r="H170" s="66"/>
      <c r="I170" s="66"/>
      <c r="J170" s="66"/>
      <c r="K170" s="66"/>
      <c r="L170" s="66"/>
      <c r="M170" s="66"/>
      <c r="N170" s="66"/>
      <c r="O170" s="66"/>
      <c r="P170" s="64">
        <v>4000</v>
      </c>
      <c r="Q170" s="66"/>
      <c r="R170" s="66"/>
      <c r="S170" s="214"/>
      <c r="T170" s="219">
        <f t="shared" si="5"/>
        <v>4000</v>
      </c>
    </row>
    <row r="171" spans="1:20" ht="33.75">
      <c r="A171" s="17" t="s">
        <v>218</v>
      </c>
      <c r="B171" s="73">
        <v>1</v>
      </c>
      <c r="C171" s="67"/>
      <c r="D171" s="212">
        <v>12</v>
      </c>
      <c r="E171" s="218">
        <f t="shared" si="4"/>
        <v>48000</v>
      </c>
      <c r="F171" s="60" t="s">
        <v>166</v>
      </c>
      <c r="G171" s="66"/>
      <c r="H171" s="66"/>
      <c r="I171" s="66"/>
      <c r="J171" s="66"/>
      <c r="K171" s="66"/>
      <c r="L171" s="66"/>
      <c r="M171" s="66"/>
      <c r="N171" s="66"/>
      <c r="O171" s="66"/>
      <c r="P171" s="64">
        <v>4000</v>
      </c>
      <c r="Q171" s="66"/>
      <c r="R171" s="66"/>
      <c r="S171" s="214"/>
      <c r="T171" s="219">
        <f t="shared" si="5"/>
        <v>4000</v>
      </c>
    </row>
    <row r="172" spans="1:20" ht="22.5">
      <c r="A172" s="17" t="s">
        <v>216</v>
      </c>
      <c r="B172" s="73">
        <v>1</v>
      </c>
      <c r="C172" s="67"/>
      <c r="D172" s="212">
        <v>12</v>
      </c>
      <c r="E172" s="218">
        <f t="shared" si="4"/>
        <v>42000</v>
      </c>
      <c r="F172" s="60" t="s">
        <v>166</v>
      </c>
      <c r="G172" s="66"/>
      <c r="H172" s="66"/>
      <c r="I172" s="66"/>
      <c r="J172" s="66"/>
      <c r="K172" s="66"/>
      <c r="L172" s="66"/>
      <c r="M172" s="66"/>
      <c r="N172" s="66"/>
      <c r="O172" s="66"/>
      <c r="P172" s="64">
        <v>3500</v>
      </c>
      <c r="Q172" s="66"/>
      <c r="R172" s="66"/>
      <c r="S172" s="214"/>
      <c r="T172" s="219">
        <f t="shared" si="5"/>
        <v>3500</v>
      </c>
    </row>
    <row r="173" spans="1:20" ht="22.5">
      <c r="A173" s="17" t="s">
        <v>216</v>
      </c>
      <c r="B173" s="73">
        <v>1</v>
      </c>
      <c r="C173" s="67"/>
      <c r="D173" s="212">
        <v>12</v>
      </c>
      <c r="E173" s="218">
        <f t="shared" si="4"/>
        <v>42000</v>
      </c>
      <c r="F173" s="60" t="s">
        <v>166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4">
        <v>3500</v>
      </c>
      <c r="Q173" s="66"/>
      <c r="R173" s="66"/>
      <c r="S173" s="214"/>
      <c r="T173" s="219">
        <f t="shared" si="5"/>
        <v>3500</v>
      </c>
    </row>
    <row r="174" spans="1:20" ht="22.5">
      <c r="A174" s="17" t="s">
        <v>216</v>
      </c>
      <c r="B174" s="73">
        <v>1</v>
      </c>
      <c r="C174" s="67"/>
      <c r="D174" s="212">
        <v>12</v>
      </c>
      <c r="E174" s="218">
        <f t="shared" si="4"/>
        <v>42000</v>
      </c>
      <c r="F174" s="60" t="s">
        <v>166</v>
      </c>
      <c r="G174" s="66"/>
      <c r="H174" s="66"/>
      <c r="I174" s="66"/>
      <c r="J174" s="66"/>
      <c r="K174" s="66"/>
      <c r="L174" s="66"/>
      <c r="M174" s="66"/>
      <c r="N174" s="66"/>
      <c r="O174" s="66"/>
      <c r="P174" s="64">
        <v>3500</v>
      </c>
      <c r="Q174" s="66"/>
      <c r="R174" s="66"/>
      <c r="S174" s="214"/>
      <c r="T174" s="219">
        <f t="shared" si="5"/>
        <v>3500</v>
      </c>
    </row>
    <row r="175" spans="1:20" ht="22.5">
      <c r="A175" s="17" t="s">
        <v>216</v>
      </c>
      <c r="B175" s="73">
        <v>1</v>
      </c>
      <c r="C175" s="67"/>
      <c r="D175" s="212">
        <v>12</v>
      </c>
      <c r="E175" s="218">
        <f t="shared" si="4"/>
        <v>42000</v>
      </c>
      <c r="F175" s="60" t="s">
        <v>166</v>
      </c>
      <c r="G175" s="66"/>
      <c r="H175" s="66"/>
      <c r="I175" s="66"/>
      <c r="J175" s="66"/>
      <c r="K175" s="66"/>
      <c r="L175" s="66"/>
      <c r="M175" s="66"/>
      <c r="N175" s="66"/>
      <c r="O175" s="66"/>
      <c r="P175" s="64">
        <v>3500</v>
      </c>
      <c r="Q175" s="66"/>
      <c r="R175" s="66"/>
      <c r="S175" s="214"/>
      <c r="T175" s="219">
        <f t="shared" si="5"/>
        <v>3500</v>
      </c>
    </row>
    <row r="176" spans="1:20" ht="22.5">
      <c r="A176" s="17" t="s">
        <v>216</v>
      </c>
      <c r="B176" s="73">
        <v>1</v>
      </c>
      <c r="C176" s="67"/>
      <c r="D176" s="212">
        <v>12</v>
      </c>
      <c r="E176" s="218">
        <f t="shared" si="4"/>
        <v>42000</v>
      </c>
      <c r="F176" s="60" t="s">
        <v>166</v>
      </c>
      <c r="G176" s="66"/>
      <c r="H176" s="66"/>
      <c r="I176" s="66"/>
      <c r="J176" s="66"/>
      <c r="K176" s="66"/>
      <c r="L176" s="66"/>
      <c r="M176" s="66"/>
      <c r="N176" s="66"/>
      <c r="O176" s="66"/>
      <c r="P176" s="64">
        <v>3500</v>
      </c>
      <c r="Q176" s="66"/>
      <c r="R176" s="66"/>
      <c r="S176" s="214"/>
      <c r="T176" s="219">
        <f t="shared" si="5"/>
        <v>3500</v>
      </c>
    </row>
    <row r="177" spans="1:20" ht="22.5">
      <c r="A177" s="17" t="s">
        <v>216</v>
      </c>
      <c r="B177" s="73">
        <v>1</v>
      </c>
      <c r="C177" s="67"/>
      <c r="D177" s="212">
        <v>12</v>
      </c>
      <c r="E177" s="218">
        <f t="shared" si="4"/>
        <v>42000</v>
      </c>
      <c r="F177" s="60" t="s">
        <v>166</v>
      </c>
      <c r="G177" s="66"/>
      <c r="H177" s="66"/>
      <c r="I177" s="66"/>
      <c r="J177" s="66"/>
      <c r="K177" s="66"/>
      <c r="L177" s="66"/>
      <c r="M177" s="66"/>
      <c r="N177" s="66"/>
      <c r="O177" s="66"/>
      <c r="P177" s="64">
        <v>3500</v>
      </c>
      <c r="Q177" s="66"/>
      <c r="R177" s="66"/>
      <c r="S177" s="214"/>
      <c r="T177" s="219">
        <f t="shared" si="5"/>
        <v>3500</v>
      </c>
    </row>
    <row r="178" spans="1:20" ht="22.5">
      <c r="A178" s="17" t="s">
        <v>216</v>
      </c>
      <c r="B178" s="73">
        <v>1</v>
      </c>
      <c r="C178" s="67"/>
      <c r="D178" s="212">
        <v>12</v>
      </c>
      <c r="E178" s="218">
        <f t="shared" si="4"/>
        <v>42000</v>
      </c>
      <c r="F178" s="60" t="s">
        <v>166</v>
      </c>
      <c r="G178" s="66"/>
      <c r="H178" s="66"/>
      <c r="I178" s="66"/>
      <c r="J178" s="66"/>
      <c r="K178" s="66"/>
      <c r="L178" s="66"/>
      <c r="M178" s="66"/>
      <c r="N178" s="66"/>
      <c r="O178" s="66"/>
      <c r="P178" s="64">
        <v>3500</v>
      </c>
      <c r="Q178" s="66"/>
      <c r="R178" s="66"/>
      <c r="S178" s="214"/>
      <c r="T178" s="219">
        <f t="shared" si="5"/>
        <v>3500</v>
      </c>
    </row>
    <row r="179" spans="1:20" ht="33.75">
      <c r="A179" s="17" t="s">
        <v>218</v>
      </c>
      <c r="B179" s="73">
        <v>1</v>
      </c>
      <c r="C179" s="67"/>
      <c r="D179" s="212">
        <v>12</v>
      </c>
      <c r="E179" s="218">
        <f t="shared" si="4"/>
        <v>42000</v>
      </c>
      <c r="F179" s="60" t="s">
        <v>166</v>
      </c>
      <c r="G179" s="66"/>
      <c r="H179" s="66"/>
      <c r="I179" s="66"/>
      <c r="J179" s="66"/>
      <c r="K179" s="66"/>
      <c r="L179" s="66"/>
      <c r="M179" s="66"/>
      <c r="N179" s="66"/>
      <c r="O179" s="66"/>
      <c r="P179" s="64">
        <v>3500</v>
      </c>
      <c r="Q179" s="66"/>
      <c r="R179" s="66"/>
      <c r="S179" s="214"/>
      <c r="T179" s="219">
        <f t="shared" si="5"/>
        <v>3500</v>
      </c>
    </row>
    <row r="180" spans="1:20" ht="22.5">
      <c r="A180" s="17" t="s">
        <v>216</v>
      </c>
      <c r="B180" s="73">
        <v>1</v>
      </c>
      <c r="C180" s="67"/>
      <c r="D180" s="212">
        <v>12</v>
      </c>
      <c r="E180" s="218">
        <f t="shared" si="4"/>
        <v>42000</v>
      </c>
      <c r="F180" s="60" t="s">
        <v>166</v>
      </c>
      <c r="G180" s="66"/>
      <c r="H180" s="66"/>
      <c r="I180" s="66"/>
      <c r="J180" s="66"/>
      <c r="K180" s="66"/>
      <c r="L180" s="66"/>
      <c r="M180" s="66"/>
      <c r="N180" s="66"/>
      <c r="O180" s="66"/>
      <c r="P180" s="64">
        <v>3500</v>
      </c>
      <c r="Q180" s="66"/>
      <c r="R180" s="66"/>
      <c r="S180" s="214"/>
      <c r="T180" s="219">
        <f t="shared" si="5"/>
        <v>3500</v>
      </c>
    </row>
    <row r="181" spans="1:20" ht="22.5">
      <c r="A181" s="17" t="s">
        <v>216</v>
      </c>
      <c r="B181" s="73">
        <v>1</v>
      </c>
      <c r="C181" s="67"/>
      <c r="D181" s="212">
        <v>12</v>
      </c>
      <c r="E181" s="218">
        <f t="shared" si="4"/>
        <v>42000</v>
      </c>
      <c r="F181" s="60" t="s">
        <v>166</v>
      </c>
      <c r="G181" s="66"/>
      <c r="H181" s="66"/>
      <c r="I181" s="66"/>
      <c r="J181" s="66"/>
      <c r="K181" s="66"/>
      <c r="L181" s="66"/>
      <c r="M181" s="66"/>
      <c r="N181" s="66"/>
      <c r="O181" s="66"/>
      <c r="P181" s="64">
        <v>3500</v>
      </c>
      <c r="Q181" s="66"/>
      <c r="R181" s="66"/>
      <c r="S181" s="214"/>
      <c r="T181" s="219">
        <f t="shared" si="5"/>
        <v>3500</v>
      </c>
    </row>
    <row r="182" spans="1:20" ht="22.5">
      <c r="A182" s="17" t="s">
        <v>216</v>
      </c>
      <c r="B182" s="73">
        <v>1</v>
      </c>
      <c r="C182" s="67"/>
      <c r="D182" s="212">
        <v>12</v>
      </c>
      <c r="E182" s="218">
        <f t="shared" si="4"/>
        <v>42000</v>
      </c>
      <c r="F182" s="60" t="s">
        <v>166</v>
      </c>
      <c r="G182" s="66"/>
      <c r="H182" s="66"/>
      <c r="I182" s="66"/>
      <c r="J182" s="66"/>
      <c r="K182" s="66"/>
      <c r="L182" s="66"/>
      <c r="M182" s="66"/>
      <c r="N182" s="66"/>
      <c r="O182" s="66"/>
      <c r="P182" s="64">
        <v>3500</v>
      </c>
      <c r="Q182" s="66"/>
      <c r="R182" s="66"/>
      <c r="S182" s="214"/>
      <c r="T182" s="219">
        <f t="shared" si="5"/>
        <v>3500</v>
      </c>
    </row>
    <row r="183" spans="1:20" ht="22.5">
      <c r="A183" s="17" t="s">
        <v>216</v>
      </c>
      <c r="B183" s="73">
        <v>1</v>
      </c>
      <c r="C183" s="67"/>
      <c r="D183" s="212">
        <v>12</v>
      </c>
      <c r="E183" s="218">
        <f t="shared" si="4"/>
        <v>42000</v>
      </c>
      <c r="F183" s="60" t="s">
        <v>166</v>
      </c>
      <c r="G183" s="66"/>
      <c r="H183" s="66"/>
      <c r="I183" s="66"/>
      <c r="J183" s="66"/>
      <c r="K183" s="66"/>
      <c r="L183" s="66"/>
      <c r="M183" s="66"/>
      <c r="N183" s="66"/>
      <c r="O183" s="66"/>
      <c r="P183" s="64">
        <v>3500</v>
      </c>
      <c r="Q183" s="66"/>
      <c r="R183" s="66"/>
      <c r="S183" s="214"/>
      <c r="T183" s="219">
        <f t="shared" si="5"/>
        <v>3500</v>
      </c>
    </row>
    <row r="184" spans="1:20" ht="22.5">
      <c r="A184" s="17" t="s">
        <v>216</v>
      </c>
      <c r="B184" s="73">
        <v>1</v>
      </c>
      <c r="C184" s="67"/>
      <c r="D184" s="212">
        <v>12</v>
      </c>
      <c r="E184" s="218">
        <f t="shared" si="4"/>
        <v>42000</v>
      </c>
      <c r="F184" s="60" t="s">
        <v>166</v>
      </c>
      <c r="G184" s="66"/>
      <c r="H184" s="66"/>
      <c r="I184" s="66"/>
      <c r="J184" s="66"/>
      <c r="K184" s="66"/>
      <c r="L184" s="66"/>
      <c r="M184" s="66"/>
      <c r="N184" s="66"/>
      <c r="O184" s="66"/>
      <c r="P184" s="64">
        <v>3500</v>
      </c>
      <c r="Q184" s="66"/>
      <c r="R184" s="66"/>
      <c r="S184" s="214"/>
      <c r="T184" s="219">
        <f t="shared" si="5"/>
        <v>3500</v>
      </c>
    </row>
    <row r="185" spans="1:20" ht="22.5">
      <c r="A185" s="17" t="s">
        <v>216</v>
      </c>
      <c r="B185" s="73">
        <v>1</v>
      </c>
      <c r="C185" s="67"/>
      <c r="D185" s="212">
        <v>12</v>
      </c>
      <c r="E185" s="218">
        <f t="shared" si="4"/>
        <v>42000</v>
      </c>
      <c r="F185" s="60" t="s">
        <v>166</v>
      </c>
      <c r="G185" s="66"/>
      <c r="H185" s="66"/>
      <c r="I185" s="66"/>
      <c r="J185" s="66"/>
      <c r="K185" s="66"/>
      <c r="L185" s="66"/>
      <c r="M185" s="66"/>
      <c r="N185" s="66"/>
      <c r="O185" s="66"/>
      <c r="P185" s="64">
        <v>3500</v>
      </c>
      <c r="Q185" s="66"/>
      <c r="R185" s="66"/>
      <c r="S185" s="214"/>
      <c r="T185" s="219">
        <f t="shared" si="5"/>
        <v>3500</v>
      </c>
    </row>
    <row r="186" spans="1:20" ht="22.5">
      <c r="A186" s="17" t="s">
        <v>216</v>
      </c>
      <c r="B186" s="73">
        <v>1</v>
      </c>
      <c r="C186" s="67"/>
      <c r="D186" s="212">
        <v>12</v>
      </c>
      <c r="E186" s="218">
        <f t="shared" si="4"/>
        <v>42000</v>
      </c>
      <c r="F186" s="60" t="s">
        <v>166</v>
      </c>
      <c r="G186" s="66"/>
      <c r="H186" s="66"/>
      <c r="I186" s="66"/>
      <c r="J186" s="66"/>
      <c r="K186" s="66"/>
      <c r="L186" s="66"/>
      <c r="M186" s="66"/>
      <c r="N186" s="66"/>
      <c r="O186" s="66"/>
      <c r="P186" s="64">
        <v>3500</v>
      </c>
      <c r="Q186" s="66"/>
      <c r="R186" s="66"/>
      <c r="S186" s="214"/>
      <c r="T186" s="219">
        <f t="shared" si="5"/>
        <v>3500</v>
      </c>
    </row>
    <row r="187" spans="1:20" ht="22.5">
      <c r="A187" s="17" t="s">
        <v>216</v>
      </c>
      <c r="B187" s="73">
        <v>1</v>
      </c>
      <c r="C187" s="67"/>
      <c r="D187" s="212">
        <v>12</v>
      </c>
      <c r="E187" s="218">
        <f t="shared" si="4"/>
        <v>42000</v>
      </c>
      <c r="F187" s="60" t="s">
        <v>166</v>
      </c>
      <c r="G187" s="66"/>
      <c r="H187" s="66"/>
      <c r="I187" s="66"/>
      <c r="J187" s="66"/>
      <c r="K187" s="66"/>
      <c r="L187" s="66"/>
      <c r="M187" s="66"/>
      <c r="N187" s="66"/>
      <c r="O187" s="66"/>
      <c r="P187" s="64">
        <v>3500</v>
      </c>
      <c r="Q187" s="66"/>
      <c r="R187" s="66"/>
      <c r="S187" s="214"/>
      <c r="T187" s="219">
        <f t="shared" si="5"/>
        <v>3500</v>
      </c>
    </row>
    <row r="188" spans="1:20" ht="22.5">
      <c r="A188" s="17" t="s">
        <v>216</v>
      </c>
      <c r="B188" s="73">
        <v>1</v>
      </c>
      <c r="C188" s="67"/>
      <c r="D188" s="212">
        <v>12</v>
      </c>
      <c r="E188" s="218">
        <f t="shared" si="4"/>
        <v>42000</v>
      </c>
      <c r="F188" s="60" t="s">
        <v>166</v>
      </c>
      <c r="G188" s="66"/>
      <c r="H188" s="66"/>
      <c r="I188" s="66"/>
      <c r="J188" s="66"/>
      <c r="K188" s="66"/>
      <c r="L188" s="66"/>
      <c r="M188" s="66"/>
      <c r="N188" s="66"/>
      <c r="O188" s="66"/>
      <c r="P188" s="64">
        <v>3500</v>
      </c>
      <c r="Q188" s="66"/>
      <c r="R188" s="66"/>
      <c r="S188" s="214"/>
      <c r="T188" s="219">
        <f t="shared" si="5"/>
        <v>3500</v>
      </c>
    </row>
    <row r="189" spans="1:20" ht="22.5">
      <c r="A189" s="17" t="s">
        <v>216</v>
      </c>
      <c r="B189" s="73">
        <v>1</v>
      </c>
      <c r="C189" s="67"/>
      <c r="D189" s="212">
        <v>12</v>
      </c>
      <c r="E189" s="218">
        <f t="shared" si="4"/>
        <v>42000</v>
      </c>
      <c r="F189" s="60" t="s">
        <v>166</v>
      </c>
      <c r="G189" s="66"/>
      <c r="H189" s="66"/>
      <c r="I189" s="66"/>
      <c r="J189" s="66"/>
      <c r="K189" s="66"/>
      <c r="L189" s="66"/>
      <c r="M189" s="66"/>
      <c r="N189" s="66"/>
      <c r="O189" s="66"/>
      <c r="P189" s="64">
        <v>3500</v>
      </c>
      <c r="Q189" s="66"/>
      <c r="R189" s="66"/>
      <c r="S189" s="214"/>
      <c r="T189" s="219">
        <f t="shared" si="5"/>
        <v>3500</v>
      </c>
    </row>
    <row r="190" spans="1:20" ht="33.75">
      <c r="A190" s="17" t="s">
        <v>219</v>
      </c>
      <c r="B190" s="73">
        <v>1</v>
      </c>
      <c r="C190" s="67"/>
      <c r="D190" s="212">
        <v>12</v>
      </c>
      <c r="E190" s="218">
        <f t="shared" si="4"/>
        <v>36000</v>
      </c>
      <c r="F190" s="60" t="s">
        <v>166</v>
      </c>
      <c r="G190" s="66"/>
      <c r="H190" s="66"/>
      <c r="I190" s="66"/>
      <c r="J190" s="66"/>
      <c r="K190" s="66"/>
      <c r="L190" s="66"/>
      <c r="M190" s="66"/>
      <c r="N190" s="66"/>
      <c r="O190" s="66"/>
      <c r="P190" s="64">
        <v>3000</v>
      </c>
      <c r="Q190" s="66"/>
      <c r="R190" s="66"/>
      <c r="S190" s="214"/>
      <c r="T190" s="219">
        <f t="shared" si="5"/>
        <v>3000</v>
      </c>
    </row>
    <row r="191" spans="1:20" ht="33.75">
      <c r="A191" s="17" t="s">
        <v>220</v>
      </c>
      <c r="B191" s="73">
        <v>1</v>
      </c>
      <c r="C191" s="67"/>
      <c r="D191" s="212">
        <v>12</v>
      </c>
      <c r="E191" s="218">
        <f t="shared" si="4"/>
        <v>36000</v>
      </c>
      <c r="F191" s="60" t="s">
        <v>166</v>
      </c>
      <c r="G191" s="66"/>
      <c r="H191" s="66"/>
      <c r="I191" s="66"/>
      <c r="J191" s="66"/>
      <c r="K191" s="66"/>
      <c r="L191" s="66"/>
      <c r="M191" s="66"/>
      <c r="N191" s="66"/>
      <c r="O191" s="66"/>
      <c r="P191" s="64">
        <v>3000</v>
      </c>
      <c r="Q191" s="66"/>
      <c r="R191" s="66"/>
      <c r="S191" s="214"/>
      <c r="T191" s="219">
        <f t="shared" si="5"/>
        <v>3000</v>
      </c>
    </row>
    <row r="192" spans="1:20" ht="45">
      <c r="A192" s="17" t="s">
        <v>221</v>
      </c>
      <c r="B192" s="73">
        <v>1</v>
      </c>
      <c r="C192" s="67"/>
      <c r="D192" s="212">
        <v>12</v>
      </c>
      <c r="E192" s="218">
        <f t="shared" si="4"/>
        <v>42000</v>
      </c>
      <c r="F192" s="60" t="s">
        <v>166</v>
      </c>
      <c r="G192" s="66"/>
      <c r="H192" s="66"/>
      <c r="I192" s="66"/>
      <c r="J192" s="66"/>
      <c r="K192" s="66"/>
      <c r="L192" s="66"/>
      <c r="M192" s="66"/>
      <c r="N192" s="66"/>
      <c r="O192" s="66"/>
      <c r="P192" s="64">
        <v>3500</v>
      </c>
      <c r="Q192" s="66"/>
      <c r="R192" s="66"/>
      <c r="S192" s="214"/>
      <c r="T192" s="219">
        <f t="shared" si="5"/>
        <v>3500</v>
      </c>
    </row>
    <row r="193" spans="1:20" ht="45">
      <c r="A193" s="17" t="s">
        <v>222</v>
      </c>
      <c r="B193" s="73">
        <v>1</v>
      </c>
      <c r="C193" s="67"/>
      <c r="D193" s="212">
        <v>12</v>
      </c>
      <c r="E193" s="218">
        <f t="shared" si="4"/>
        <v>36000</v>
      </c>
      <c r="F193" s="60" t="s">
        <v>166</v>
      </c>
      <c r="G193" s="66"/>
      <c r="H193" s="66"/>
      <c r="I193" s="66"/>
      <c r="J193" s="66"/>
      <c r="K193" s="66"/>
      <c r="L193" s="66"/>
      <c r="M193" s="66"/>
      <c r="N193" s="66"/>
      <c r="O193" s="66"/>
      <c r="P193" s="64">
        <v>3000</v>
      </c>
      <c r="Q193" s="66"/>
      <c r="R193" s="66"/>
      <c r="S193" s="214"/>
      <c r="T193" s="219">
        <f t="shared" si="5"/>
        <v>3000</v>
      </c>
    </row>
    <row r="194" spans="1:20" ht="33.75">
      <c r="A194" s="17" t="s">
        <v>223</v>
      </c>
      <c r="B194" s="73">
        <v>1</v>
      </c>
      <c r="C194" s="67"/>
      <c r="D194" s="212">
        <v>12</v>
      </c>
      <c r="E194" s="218">
        <f t="shared" si="4"/>
        <v>240000</v>
      </c>
      <c r="F194" s="60" t="s">
        <v>166</v>
      </c>
      <c r="G194" s="66"/>
      <c r="H194" s="66"/>
      <c r="I194" s="66"/>
      <c r="J194" s="66"/>
      <c r="K194" s="66"/>
      <c r="L194" s="66"/>
      <c r="M194" s="66"/>
      <c r="N194" s="66"/>
      <c r="O194" s="66"/>
      <c r="P194" s="64">
        <v>20000</v>
      </c>
      <c r="Q194" s="66"/>
      <c r="R194" s="66"/>
      <c r="S194" s="214"/>
      <c r="T194" s="219">
        <f t="shared" si="5"/>
        <v>20000</v>
      </c>
    </row>
    <row r="195" spans="1:20" ht="33.75">
      <c r="A195" s="17" t="s">
        <v>224</v>
      </c>
      <c r="B195" s="73">
        <v>1</v>
      </c>
      <c r="C195" s="67"/>
      <c r="D195" s="212">
        <v>12</v>
      </c>
      <c r="E195" s="218">
        <f t="shared" si="4"/>
        <v>222000</v>
      </c>
      <c r="F195" s="60" t="s">
        <v>166</v>
      </c>
      <c r="G195" s="66"/>
      <c r="H195" s="66"/>
      <c r="I195" s="66"/>
      <c r="J195" s="66"/>
      <c r="K195" s="66"/>
      <c r="L195" s="66"/>
      <c r="M195" s="66"/>
      <c r="N195" s="66"/>
      <c r="O195" s="66"/>
      <c r="P195" s="64">
        <v>18500</v>
      </c>
      <c r="Q195" s="66"/>
      <c r="R195" s="66"/>
      <c r="S195" s="214"/>
      <c r="T195" s="219">
        <f t="shared" si="5"/>
        <v>18500</v>
      </c>
    </row>
    <row r="196" spans="1:20" ht="33.75">
      <c r="A196" s="17" t="s">
        <v>224</v>
      </c>
      <c r="B196" s="73">
        <v>1</v>
      </c>
      <c r="C196" s="67"/>
      <c r="D196" s="212">
        <v>12</v>
      </c>
      <c r="E196" s="218">
        <f t="shared" si="4"/>
        <v>222000</v>
      </c>
      <c r="F196" s="60" t="s">
        <v>166</v>
      </c>
      <c r="G196" s="66"/>
      <c r="H196" s="66"/>
      <c r="I196" s="66"/>
      <c r="J196" s="66"/>
      <c r="K196" s="66"/>
      <c r="L196" s="66"/>
      <c r="M196" s="66"/>
      <c r="N196" s="66"/>
      <c r="O196" s="66"/>
      <c r="P196" s="64">
        <v>18500</v>
      </c>
      <c r="Q196" s="66"/>
      <c r="R196" s="66"/>
      <c r="S196" s="214"/>
      <c r="T196" s="219">
        <f t="shared" si="5"/>
        <v>18500</v>
      </c>
    </row>
    <row r="197" spans="1:20" ht="33.75">
      <c r="A197" s="17" t="s">
        <v>224</v>
      </c>
      <c r="B197" s="73">
        <v>1</v>
      </c>
      <c r="C197" s="67"/>
      <c r="D197" s="212">
        <v>12</v>
      </c>
      <c r="E197" s="218">
        <f t="shared" si="4"/>
        <v>222000</v>
      </c>
      <c r="F197" s="60" t="s">
        <v>166</v>
      </c>
      <c r="G197" s="66"/>
      <c r="H197" s="66"/>
      <c r="I197" s="66"/>
      <c r="J197" s="66"/>
      <c r="K197" s="66"/>
      <c r="L197" s="66"/>
      <c r="M197" s="66"/>
      <c r="N197" s="66"/>
      <c r="O197" s="66"/>
      <c r="P197" s="64">
        <v>18500</v>
      </c>
      <c r="Q197" s="66"/>
      <c r="R197" s="66"/>
      <c r="S197" s="214"/>
      <c r="T197" s="219">
        <f t="shared" si="5"/>
        <v>18500</v>
      </c>
    </row>
    <row r="198" spans="1:20" ht="33.75">
      <c r="A198" s="17" t="s">
        <v>224</v>
      </c>
      <c r="B198" s="73">
        <v>1</v>
      </c>
      <c r="C198" s="67"/>
      <c r="D198" s="212">
        <v>12</v>
      </c>
      <c r="E198" s="218">
        <f t="shared" si="4"/>
        <v>222000</v>
      </c>
      <c r="F198" s="60" t="s">
        <v>166</v>
      </c>
      <c r="G198" s="66"/>
      <c r="H198" s="66"/>
      <c r="I198" s="66"/>
      <c r="J198" s="66"/>
      <c r="K198" s="66"/>
      <c r="L198" s="66"/>
      <c r="M198" s="66"/>
      <c r="N198" s="66"/>
      <c r="O198" s="66"/>
      <c r="P198" s="64">
        <v>18500</v>
      </c>
      <c r="Q198" s="66"/>
      <c r="R198" s="66"/>
      <c r="S198" s="214"/>
      <c r="T198" s="219">
        <f t="shared" si="5"/>
        <v>18500</v>
      </c>
    </row>
    <row r="199" spans="1:20" ht="45">
      <c r="A199" s="17" t="s">
        <v>225</v>
      </c>
      <c r="B199" s="73">
        <v>1</v>
      </c>
      <c r="C199" s="67"/>
      <c r="D199" s="212">
        <v>12</v>
      </c>
      <c r="E199" s="218">
        <f t="shared" ref="E199:E262" si="6">T199*12</f>
        <v>204000</v>
      </c>
      <c r="F199" s="60" t="s">
        <v>166</v>
      </c>
      <c r="G199" s="66"/>
      <c r="H199" s="66"/>
      <c r="I199" s="66"/>
      <c r="J199" s="66"/>
      <c r="K199" s="66"/>
      <c r="L199" s="66"/>
      <c r="M199" s="66"/>
      <c r="N199" s="66"/>
      <c r="O199" s="66"/>
      <c r="P199" s="64">
        <v>17000</v>
      </c>
      <c r="Q199" s="66"/>
      <c r="R199" s="66"/>
      <c r="S199" s="214"/>
      <c r="T199" s="219">
        <f t="shared" si="5"/>
        <v>17000</v>
      </c>
    </row>
    <row r="200" spans="1:20" ht="45">
      <c r="A200" s="17" t="s">
        <v>225</v>
      </c>
      <c r="B200" s="73">
        <v>1</v>
      </c>
      <c r="C200" s="67"/>
      <c r="D200" s="212">
        <v>12</v>
      </c>
      <c r="E200" s="218">
        <f t="shared" si="6"/>
        <v>204000</v>
      </c>
      <c r="F200" s="60" t="s">
        <v>166</v>
      </c>
      <c r="G200" s="66"/>
      <c r="H200" s="66"/>
      <c r="I200" s="66"/>
      <c r="J200" s="66"/>
      <c r="K200" s="66"/>
      <c r="L200" s="66"/>
      <c r="M200" s="66"/>
      <c r="N200" s="66"/>
      <c r="O200" s="66"/>
      <c r="P200" s="64">
        <v>17000</v>
      </c>
      <c r="Q200" s="66"/>
      <c r="R200" s="66"/>
      <c r="S200" s="214"/>
      <c r="T200" s="219">
        <f t="shared" ref="T200:T263" si="7">SUM(G200:S200)</f>
        <v>17000</v>
      </c>
    </row>
    <row r="201" spans="1:20" ht="45">
      <c r="A201" s="17" t="s">
        <v>225</v>
      </c>
      <c r="B201" s="73">
        <v>1</v>
      </c>
      <c r="C201" s="67"/>
      <c r="D201" s="212">
        <v>12</v>
      </c>
      <c r="E201" s="218">
        <f t="shared" si="6"/>
        <v>204000</v>
      </c>
      <c r="F201" s="60" t="s">
        <v>166</v>
      </c>
      <c r="G201" s="66"/>
      <c r="H201" s="66"/>
      <c r="I201" s="66"/>
      <c r="J201" s="66"/>
      <c r="K201" s="66"/>
      <c r="L201" s="66"/>
      <c r="M201" s="66"/>
      <c r="N201" s="66"/>
      <c r="O201" s="66"/>
      <c r="P201" s="64">
        <v>17000</v>
      </c>
      <c r="Q201" s="66"/>
      <c r="R201" s="66"/>
      <c r="S201" s="214"/>
      <c r="T201" s="219">
        <f t="shared" si="7"/>
        <v>17000</v>
      </c>
    </row>
    <row r="202" spans="1:20" ht="45">
      <c r="A202" s="17" t="s">
        <v>225</v>
      </c>
      <c r="B202" s="73">
        <v>1</v>
      </c>
      <c r="C202" s="67"/>
      <c r="D202" s="212">
        <v>12</v>
      </c>
      <c r="E202" s="218">
        <f t="shared" si="6"/>
        <v>204000</v>
      </c>
      <c r="F202" s="60" t="s">
        <v>166</v>
      </c>
      <c r="G202" s="66"/>
      <c r="H202" s="66"/>
      <c r="I202" s="66"/>
      <c r="J202" s="66"/>
      <c r="K202" s="66"/>
      <c r="L202" s="66"/>
      <c r="M202" s="66"/>
      <c r="N202" s="66"/>
      <c r="O202" s="66"/>
      <c r="P202" s="64">
        <v>17000</v>
      </c>
      <c r="Q202" s="66"/>
      <c r="R202" s="66"/>
      <c r="S202" s="214"/>
      <c r="T202" s="219">
        <f t="shared" si="7"/>
        <v>17000</v>
      </c>
    </row>
    <row r="203" spans="1:20" ht="45">
      <c r="A203" s="17" t="s">
        <v>226</v>
      </c>
      <c r="B203" s="73">
        <v>1</v>
      </c>
      <c r="C203" s="67"/>
      <c r="D203" s="212">
        <v>12</v>
      </c>
      <c r="E203" s="218">
        <f t="shared" si="6"/>
        <v>72000</v>
      </c>
      <c r="F203" s="60" t="s">
        <v>166</v>
      </c>
      <c r="G203" s="66"/>
      <c r="H203" s="66"/>
      <c r="I203" s="66"/>
      <c r="J203" s="66"/>
      <c r="K203" s="66"/>
      <c r="L203" s="66"/>
      <c r="M203" s="66"/>
      <c r="N203" s="66"/>
      <c r="O203" s="66"/>
      <c r="P203" s="64">
        <v>6000</v>
      </c>
      <c r="Q203" s="66"/>
      <c r="R203" s="66"/>
      <c r="S203" s="214"/>
      <c r="T203" s="219">
        <f t="shared" si="7"/>
        <v>6000</v>
      </c>
    </row>
    <row r="204" spans="1:20" ht="45">
      <c r="A204" s="17" t="s">
        <v>226</v>
      </c>
      <c r="B204" s="73">
        <v>1</v>
      </c>
      <c r="C204" s="67"/>
      <c r="D204" s="212">
        <v>12</v>
      </c>
      <c r="E204" s="218">
        <f t="shared" si="6"/>
        <v>60000</v>
      </c>
      <c r="F204" s="60" t="s">
        <v>166</v>
      </c>
      <c r="G204" s="66"/>
      <c r="H204" s="66"/>
      <c r="I204" s="66"/>
      <c r="J204" s="66"/>
      <c r="K204" s="66"/>
      <c r="L204" s="66"/>
      <c r="M204" s="66"/>
      <c r="N204" s="66"/>
      <c r="O204" s="66"/>
      <c r="P204" s="64">
        <v>5000</v>
      </c>
      <c r="Q204" s="66"/>
      <c r="R204" s="66"/>
      <c r="S204" s="214"/>
      <c r="T204" s="219">
        <f t="shared" si="7"/>
        <v>5000</v>
      </c>
    </row>
    <row r="205" spans="1:20" ht="33.75">
      <c r="A205" s="17" t="s">
        <v>227</v>
      </c>
      <c r="B205" s="73">
        <v>1</v>
      </c>
      <c r="C205" s="67"/>
      <c r="D205" s="212">
        <v>12</v>
      </c>
      <c r="E205" s="218">
        <f t="shared" si="6"/>
        <v>42000</v>
      </c>
      <c r="F205" s="60" t="s">
        <v>166</v>
      </c>
      <c r="G205" s="66"/>
      <c r="H205" s="66"/>
      <c r="I205" s="66"/>
      <c r="J205" s="66"/>
      <c r="K205" s="66"/>
      <c r="L205" s="66"/>
      <c r="M205" s="66"/>
      <c r="N205" s="66"/>
      <c r="O205" s="66"/>
      <c r="P205" s="64">
        <v>3500</v>
      </c>
      <c r="Q205" s="66"/>
      <c r="R205" s="66"/>
      <c r="S205" s="214"/>
      <c r="T205" s="219">
        <f t="shared" si="7"/>
        <v>3500</v>
      </c>
    </row>
    <row r="206" spans="1:20" ht="45">
      <c r="A206" s="17" t="s">
        <v>228</v>
      </c>
      <c r="B206" s="73">
        <v>1</v>
      </c>
      <c r="C206" s="67"/>
      <c r="D206" s="212">
        <v>12</v>
      </c>
      <c r="E206" s="218">
        <f t="shared" si="6"/>
        <v>168000</v>
      </c>
      <c r="F206" s="60" t="s">
        <v>166</v>
      </c>
      <c r="G206" s="66"/>
      <c r="H206" s="66"/>
      <c r="I206" s="66"/>
      <c r="J206" s="66"/>
      <c r="K206" s="66"/>
      <c r="L206" s="66"/>
      <c r="M206" s="66"/>
      <c r="N206" s="66"/>
      <c r="O206" s="66"/>
      <c r="P206" s="64">
        <v>14000</v>
      </c>
      <c r="Q206" s="66"/>
      <c r="R206" s="66"/>
      <c r="S206" s="214"/>
      <c r="T206" s="219">
        <f t="shared" si="7"/>
        <v>14000</v>
      </c>
    </row>
    <row r="207" spans="1:20" ht="45">
      <c r="A207" s="17" t="s">
        <v>229</v>
      </c>
      <c r="B207" s="73">
        <v>1</v>
      </c>
      <c r="C207" s="67"/>
      <c r="D207" s="212">
        <v>12</v>
      </c>
      <c r="E207" s="218">
        <f t="shared" si="6"/>
        <v>78000</v>
      </c>
      <c r="F207" s="60" t="s">
        <v>166</v>
      </c>
      <c r="G207" s="66"/>
      <c r="H207" s="66"/>
      <c r="I207" s="66"/>
      <c r="J207" s="66"/>
      <c r="K207" s="66"/>
      <c r="L207" s="66"/>
      <c r="M207" s="66"/>
      <c r="N207" s="66"/>
      <c r="O207" s="66"/>
      <c r="P207" s="64">
        <v>6500</v>
      </c>
      <c r="Q207" s="66"/>
      <c r="R207" s="66"/>
      <c r="S207" s="214"/>
      <c r="T207" s="219">
        <f t="shared" si="7"/>
        <v>6500</v>
      </c>
    </row>
    <row r="208" spans="1:20" ht="33.75">
      <c r="A208" s="17" t="s">
        <v>230</v>
      </c>
      <c r="B208" s="73">
        <v>1</v>
      </c>
      <c r="C208" s="67"/>
      <c r="D208" s="212">
        <v>12</v>
      </c>
      <c r="E208" s="218">
        <f t="shared" si="6"/>
        <v>36000</v>
      </c>
      <c r="F208" s="60" t="s">
        <v>166</v>
      </c>
      <c r="G208" s="66"/>
      <c r="H208" s="66"/>
      <c r="I208" s="66"/>
      <c r="J208" s="66"/>
      <c r="K208" s="66"/>
      <c r="L208" s="66"/>
      <c r="M208" s="66"/>
      <c r="N208" s="66"/>
      <c r="O208" s="66"/>
      <c r="P208" s="64">
        <v>3000</v>
      </c>
      <c r="Q208" s="66"/>
      <c r="R208" s="66"/>
      <c r="S208" s="214"/>
      <c r="T208" s="219">
        <f t="shared" si="7"/>
        <v>3000</v>
      </c>
    </row>
    <row r="209" spans="1:20" ht="45">
      <c r="A209" s="17" t="s">
        <v>231</v>
      </c>
      <c r="B209" s="73">
        <v>1</v>
      </c>
      <c r="C209" s="67"/>
      <c r="D209" s="212">
        <v>12</v>
      </c>
      <c r="E209" s="218">
        <f t="shared" si="6"/>
        <v>36000</v>
      </c>
      <c r="F209" s="60" t="s">
        <v>166</v>
      </c>
      <c r="G209" s="66"/>
      <c r="H209" s="66"/>
      <c r="I209" s="66"/>
      <c r="J209" s="66"/>
      <c r="K209" s="66"/>
      <c r="L209" s="66"/>
      <c r="M209" s="66"/>
      <c r="N209" s="66"/>
      <c r="O209" s="66"/>
      <c r="P209" s="64">
        <v>3000</v>
      </c>
      <c r="Q209" s="66"/>
      <c r="R209" s="66"/>
      <c r="S209" s="214"/>
      <c r="T209" s="219">
        <f t="shared" si="7"/>
        <v>3000</v>
      </c>
    </row>
    <row r="210" spans="1:20" ht="45">
      <c r="A210" s="17" t="s">
        <v>232</v>
      </c>
      <c r="B210" s="73">
        <v>1</v>
      </c>
      <c r="C210" s="67"/>
      <c r="D210" s="212">
        <v>12</v>
      </c>
      <c r="E210" s="218">
        <f t="shared" si="6"/>
        <v>36000</v>
      </c>
      <c r="F210" s="60" t="s">
        <v>166</v>
      </c>
      <c r="G210" s="66"/>
      <c r="H210" s="66"/>
      <c r="I210" s="66"/>
      <c r="J210" s="66"/>
      <c r="K210" s="66"/>
      <c r="L210" s="66"/>
      <c r="M210" s="66"/>
      <c r="N210" s="66"/>
      <c r="O210" s="66"/>
      <c r="P210" s="64">
        <v>3000</v>
      </c>
      <c r="Q210" s="66"/>
      <c r="R210" s="66"/>
      <c r="S210" s="214"/>
      <c r="T210" s="219">
        <f t="shared" si="7"/>
        <v>3000</v>
      </c>
    </row>
    <row r="211" spans="1:20" ht="33.75">
      <c r="A211" s="17" t="s">
        <v>233</v>
      </c>
      <c r="B211" s="73">
        <v>1</v>
      </c>
      <c r="C211" s="67"/>
      <c r="D211" s="212">
        <v>12</v>
      </c>
      <c r="E211" s="218">
        <f t="shared" si="6"/>
        <v>48000</v>
      </c>
      <c r="F211" s="60" t="s">
        <v>166</v>
      </c>
      <c r="G211" s="66"/>
      <c r="H211" s="66"/>
      <c r="I211" s="66"/>
      <c r="J211" s="66"/>
      <c r="K211" s="66"/>
      <c r="L211" s="66"/>
      <c r="M211" s="66"/>
      <c r="N211" s="66"/>
      <c r="O211" s="66"/>
      <c r="P211" s="64">
        <v>4000</v>
      </c>
      <c r="Q211" s="66"/>
      <c r="R211" s="66"/>
      <c r="S211" s="214"/>
      <c r="T211" s="219">
        <f t="shared" si="7"/>
        <v>4000</v>
      </c>
    </row>
    <row r="212" spans="1:20" ht="33.75">
      <c r="A212" s="17" t="s">
        <v>234</v>
      </c>
      <c r="B212" s="73">
        <v>1</v>
      </c>
      <c r="C212" s="67"/>
      <c r="D212" s="212">
        <v>12</v>
      </c>
      <c r="E212" s="218">
        <f t="shared" si="6"/>
        <v>42000</v>
      </c>
      <c r="F212" s="60" t="s">
        <v>166</v>
      </c>
      <c r="G212" s="66"/>
      <c r="H212" s="66"/>
      <c r="I212" s="66"/>
      <c r="J212" s="66"/>
      <c r="K212" s="66"/>
      <c r="L212" s="66"/>
      <c r="M212" s="66"/>
      <c r="N212" s="66"/>
      <c r="O212" s="66"/>
      <c r="P212" s="64">
        <v>3500</v>
      </c>
      <c r="Q212" s="66"/>
      <c r="R212" s="66"/>
      <c r="S212" s="214"/>
      <c r="T212" s="219">
        <f t="shared" si="7"/>
        <v>3500</v>
      </c>
    </row>
    <row r="213" spans="1:20" ht="33.75">
      <c r="A213" s="17" t="s">
        <v>235</v>
      </c>
      <c r="B213" s="73">
        <v>1</v>
      </c>
      <c r="C213" s="67"/>
      <c r="D213" s="212">
        <v>12</v>
      </c>
      <c r="E213" s="218">
        <f t="shared" si="6"/>
        <v>36000</v>
      </c>
      <c r="F213" s="60" t="s">
        <v>166</v>
      </c>
      <c r="G213" s="66"/>
      <c r="H213" s="66"/>
      <c r="I213" s="66"/>
      <c r="J213" s="66"/>
      <c r="K213" s="66"/>
      <c r="L213" s="66"/>
      <c r="M213" s="66"/>
      <c r="N213" s="66"/>
      <c r="O213" s="66"/>
      <c r="P213" s="64">
        <v>3000</v>
      </c>
      <c r="Q213" s="66"/>
      <c r="R213" s="66"/>
      <c r="S213" s="214"/>
      <c r="T213" s="219">
        <f t="shared" si="7"/>
        <v>3000</v>
      </c>
    </row>
    <row r="214" spans="1:20" ht="33.75">
      <c r="A214" s="17" t="s">
        <v>235</v>
      </c>
      <c r="B214" s="73">
        <v>1</v>
      </c>
      <c r="C214" s="67"/>
      <c r="D214" s="212">
        <v>12</v>
      </c>
      <c r="E214" s="218">
        <f t="shared" si="6"/>
        <v>36000</v>
      </c>
      <c r="F214" s="60" t="s">
        <v>166</v>
      </c>
      <c r="G214" s="66"/>
      <c r="H214" s="66"/>
      <c r="I214" s="66"/>
      <c r="J214" s="66"/>
      <c r="K214" s="66"/>
      <c r="L214" s="66"/>
      <c r="M214" s="66"/>
      <c r="N214" s="66"/>
      <c r="O214" s="66"/>
      <c r="P214" s="64">
        <v>3000</v>
      </c>
      <c r="Q214" s="66"/>
      <c r="R214" s="66"/>
      <c r="S214" s="214"/>
      <c r="T214" s="219">
        <f t="shared" si="7"/>
        <v>3000</v>
      </c>
    </row>
    <row r="215" spans="1:20" ht="33.75">
      <c r="A215" s="17" t="s">
        <v>235</v>
      </c>
      <c r="B215" s="73">
        <v>1</v>
      </c>
      <c r="C215" s="67"/>
      <c r="D215" s="212">
        <v>12</v>
      </c>
      <c r="E215" s="218">
        <f t="shared" si="6"/>
        <v>36000</v>
      </c>
      <c r="F215" s="60" t="s">
        <v>166</v>
      </c>
      <c r="G215" s="66"/>
      <c r="H215" s="66"/>
      <c r="I215" s="66"/>
      <c r="J215" s="66"/>
      <c r="K215" s="66"/>
      <c r="L215" s="66"/>
      <c r="M215" s="66"/>
      <c r="N215" s="66"/>
      <c r="O215" s="66"/>
      <c r="P215" s="64">
        <v>3000</v>
      </c>
      <c r="Q215" s="66"/>
      <c r="R215" s="66"/>
      <c r="S215" s="214"/>
      <c r="T215" s="219">
        <f t="shared" si="7"/>
        <v>3000</v>
      </c>
    </row>
    <row r="216" spans="1:20" ht="33.75">
      <c r="A216" s="17" t="s">
        <v>235</v>
      </c>
      <c r="B216" s="73">
        <v>1</v>
      </c>
      <c r="C216" s="67"/>
      <c r="D216" s="212">
        <v>12</v>
      </c>
      <c r="E216" s="218">
        <f t="shared" si="6"/>
        <v>36000</v>
      </c>
      <c r="F216" s="60" t="s">
        <v>166</v>
      </c>
      <c r="G216" s="66"/>
      <c r="H216" s="66"/>
      <c r="I216" s="66"/>
      <c r="J216" s="66"/>
      <c r="K216" s="66"/>
      <c r="L216" s="66"/>
      <c r="M216" s="66"/>
      <c r="N216" s="66"/>
      <c r="O216" s="66"/>
      <c r="P216" s="64">
        <v>3000</v>
      </c>
      <c r="Q216" s="66"/>
      <c r="R216" s="66"/>
      <c r="S216" s="214"/>
      <c r="T216" s="219">
        <f t="shared" si="7"/>
        <v>3000</v>
      </c>
    </row>
    <row r="217" spans="1:20" ht="33.75">
      <c r="A217" s="17" t="s">
        <v>235</v>
      </c>
      <c r="B217" s="73">
        <v>1</v>
      </c>
      <c r="C217" s="67"/>
      <c r="D217" s="212">
        <v>12</v>
      </c>
      <c r="E217" s="218">
        <f t="shared" si="6"/>
        <v>36000</v>
      </c>
      <c r="F217" s="60" t="s">
        <v>166</v>
      </c>
      <c r="G217" s="66"/>
      <c r="H217" s="66"/>
      <c r="I217" s="66"/>
      <c r="J217" s="66"/>
      <c r="K217" s="66"/>
      <c r="L217" s="66"/>
      <c r="M217" s="66"/>
      <c r="N217" s="66"/>
      <c r="O217" s="66"/>
      <c r="P217" s="64">
        <v>3000</v>
      </c>
      <c r="Q217" s="66"/>
      <c r="R217" s="66"/>
      <c r="S217" s="214"/>
      <c r="T217" s="219">
        <f t="shared" si="7"/>
        <v>3000</v>
      </c>
    </row>
    <row r="218" spans="1:20" ht="33.75">
      <c r="A218" s="17" t="s">
        <v>230</v>
      </c>
      <c r="B218" s="73">
        <v>1</v>
      </c>
      <c r="C218" s="67"/>
      <c r="D218" s="212">
        <v>12</v>
      </c>
      <c r="E218" s="218">
        <f t="shared" si="6"/>
        <v>36000</v>
      </c>
      <c r="F218" s="60" t="s">
        <v>166</v>
      </c>
      <c r="G218" s="66"/>
      <c r="H218" s="66"/>
      <c r="I218" s="66"/>
      <c r="J218" s="66"/>
      <c r="K218" s="66"/>
      <c r="L218" s="66"/>
      <c r="M218" s="66"/>
      <c r="N218" s="66"/>
      <c r="O218" s="66"/>
      <c r="P218" s="64">
        <v>3000</v>
      </c>
      <c r="Q218" s="66"/>
      <c r="R218" s="66"/>
      <c r="S218" s="214"/>
      <c r="T218" s="219">
        <f t="shared" si="7"/>
        <v>3000</v>
      </c>
    </row>
    <row r="219" spans="1:20" ht="33.75">
      <c r="A219" s="17" t="s">
        <v>235</v>
      </c>
      <c r="B219" s="73">
        <v>1</v>
      </c>
      <c r="C219" s="67"/>
      <c r="D219" s="212">
        <v>12</v>
      </c>
      <c r="E219" s="218">
        <f t="shared" si="6"/>
        <v>36000</v>
      </c>
      <c r="F219" s="60" t="s">
        <v>166</v>
      </c>
      <c r="G219" s="66"/>
      <c r="H219" s="66"/>
      <c r="I219" s="66"/>
      <c r="J219" s="66"/>
      <c r="K219" s="66"/>
      <c r="L219" s="66"/>
      <c r="M219" s="66"/>
      <c r="N219" s="66"/>
      <c r="O219" s="66"/>
      <c r="P219" s="64">
        <v>3000</v>
      </c>
      <c r="Q219" s="66"/>
      <c r="R219" s="66"/>
      <c r="S219" s="214"/>
      <c r="T219" s="219">
        <f t="shared" si="7"/>
        <v>3000</v>
      </c>
    </row>
    <row r="220" spans="1:20" ht="22.5">
      <c r="A220" s="17" t="s">
        <v>236</v>
      </c>
      <c r="B220" s="73">
        <v>1</v>
      </c>
      <c r="C220" s="67"/>
      <c r="D220" s="212">
        <v>12</v>
      </c>
      <c r="E220" s="218">
        <f t="shared" si="6"/>
        <v>40800</v>
      </c>
      <c r="F220" s="60" t="s">
        <v>166</v>
      </c>
      <c r="G220" s="66"/>
      <c r="H220" s="66"/>
      <c r="I220" s="66"/>
      <c r="J220" s="66"/>
      <c r="K220" s="66"/>
      <c r="L220" s="66"/>
      <c r="M220" s="66"/>
      <c r="N220" s="66"/>
      <c r="O220" s="66"/>
      <c r="P220" s="64">
        <v>3400</v>
      </c>
      <c r="Q220" s="66"/>
      <c r="R220" s="66"/>
      <c r="S220" s="214"/>
      <c r="T220" s="219">
        <f t="shared" si="7"/>
        <v>3400</v>
      </c>
    </row>
    <row r="221" spans="1:20" ht="22.5">
      <c r="A221" s="17" t="s">
        <v>236</v>
      </c>
      <c r="B221" s="73">
        <v>1</v>
      </c>
      <c r="C221" s="67"/>
      <c r="D221" s="212">
        <v>12</v>
      </c>
      <c r="E221" s="218">
        <f t="shared" si="6"/>
        <v>40800</v>
      </c>
      <c r="F221" s="60" t="s">
        <v>166</v>
      </c>
      <c r="G221" s="66"/>
      <c r="H221" s="66"/>
      <c r="I221" s="66"/>
      <c r="J221" s="66"/>
      <c r="K221" s="66"/>
      <c r="L221" s="66"/>
      <c r="M221" s="66"/>
      <c r="N221" s="66"/>
      <c r="O221" s="66"/>
      <c r="P221" s="64">
        <v>3400</v>
      </c>
      <c r="Q221" s="66"/>
      <c r="R221" s="66"/>
      <c r="S221" s="214"/>
      <c r="T221" s="219">
        <f t="shared" si="7"/>
        <v>3400</v>
      </c>
    </row>
    <row r="222" spans="1:20" ht="33.75">
      <c r="A222" s="17" t="s">
        <v>237</v>
      </c>
      <c r="B222" s="73">
        <v>1</v>
      </c>
      <c r="C222" s="67"/>
      <c r="D222" s="212">
        <v>12</v>
      </c>
      <c r="E222" s="218">
        <f t="shared" si="6"/>
        <v>96000</v>
      </c>
      <c r="F222" s="60" t="s">
        <v>166</v>
      </c>
      <c r="G222" s="66"/>
      <c r="H222" s="66"/>
      <c r="I222" s="66"/>
      <c r="J222" s="66"/>
      <c r="K222" s="66"/>
      <c r="L222" s="66"/>
      <c r="M222" s="66"/>
      <c r="N222" s="66"/>
      <c r="O222" s="66"/>
      <c r="P222" s="64">
        <v>8000</v>
      </c>
      <c r="Q222" s="66"/>
      <c r="R222" s="66"/>
      <c r="S222" s="214"/>
      <c r="T222" s="219">
        <f t="shared" si="7"/>
        <v>8000</v>
      </c>
    </row>
    <row r="223" spans="1:20" ht="33.75">
      <c r="A223" s="17" t="s">
        <v>238</v>
      </c>
      <c r="B223" s="73">
        <v>1</v>
      </c>
      <c r="C223" s="67"/>
      <c r="D223" s="212">
        <v>12</v>
      </c>
      <c r="E223" s="218">
        <f t="shared" si="6"/>
        <v>84000</v>
      </c>
      <c r="F223" s="60" t="s">
        <v>166</v>
      </c>
      <c r="G223" s="66"/>
      <c r="H223" s="66"/>
      <c r="I223" s="66"/>
      <c r="J223" s="66"/>
      <c r="K223" s="66"/>
      <c r="L223" s="66"/>
      <c r="M223" s="66"/>
      <c r="N223" s="66"/>
      <c r="O223" s="66"/>
      <c r="P223" s="64">
        <v>7000</v>
      </c>
      <c r="Q223" s="66"/>
      <c r="R223" s="66"/>
      <c r="S223" s="214"/>
      <c r="T223" s="219">
        <f t="shared" si="7"/>
        <v>7000</v>
      </c>
    </row>
    <row r="224" spans="1:20" ht="33.75">
      <c r="A224" s="17" t="s">
        <v>239</v>
      </c>
      <c r="B224" s="73">
        <v>1</v>
      </c>
      <c r="C224" s="67"/>
      <c r="D224" s="212">
        <v>12</v>
      </c>
      <c r="E224" s="218">
        <f t="shared" si="6"/>
        <v>114000</v>
      </c>
      <c r="F224" s="60" t="s">
        <v>166</v>
      </c>
      <c r="G224" s="66"/>
      <c r="H224" s="66"/>
      <c r="I224" s="66"/>
      <c r="J224" s="66"/>
      <c r="K224" s="66"/>
      <c r="L224" s="66"/>
      <c r="M224" s="66"/>
      <c r="N224" s="66"/>
      <c r="O224" s="66"/>
      <c r="P224" s="64">
        <v>9500</v>
      </c>
      <c r="Q224" s="66"/>
      <c r="R224" s="66"/>
      <c r="S224" s="214"/>
      <c r="T224" s="219">
        <f t="shared" si="7"/>
        <v>9500</v>
      </c>
    </row>
    <row r="225" spans="1:20" ht="33.75">
      <c r="A225" s="17" t="s">
        <v>240</v>
      </c>
      <c r="B225" s="73">
        <v>1</v>
      </c>
      <c r="C225" s="67"/>
      <c r="D225" s="212">
        <v>12</v>
      </c>
      <c r="E225" s="218">
        <f t="shared" si="6"/>
        <v>222000</v>
      </c>
      <c r="F225" s="60" t="s">
        <v>166</v>
      </c>
      <c r="G225" s="66"/>
      <c r="H225" s="66"/>
      <c r="I225" s="66"/>
      <c r="J225" s="66"/>
      <c r="K225" s="66"/>
      <c r="L225" s="66"/>
      <c r="M225" s="66"/>
      <c r="N225" s="66"/>
      <c r="O225" s="66"/>
      <c r="P225" s="64">
        <v>18500</v>
      </c>
      <c r="Q225" s="66"/>
      <c r="R225" s="66"/>
      <c r="S225" s="214"/>
      <c r="T225" s="219">
        <f t="shared" si="7"/>
        <v>18500</v>
      </c>
    </row>
    <row r="226" spans="1:20" ht="45">
      <c r="A226" s="17" t="s">
        <v>241</v>
      </c>
      <c r="B226" s="73">
        <v>1</v>
      </c>
      <c r="C226" s="67"/>
      <c r="D226" s="212">
        <v>12</v>
      </c>
      <c r="E226" s="218">
        <f t="shared" si="6"/>
        <v>222000</v>
      </c>
      <c r="F226" s="60" t="s">
        <v>166</v>
      </c>
      <c r="G226" s="66"/>
      <c r="H226" s="66"/>
      <c r="I226" s="66"/>
      <c r="J226" s="66"/>
      <c r="K226" s="66"/>
      <c r="L226" s="66"/>
      <c r="M226" s="66"/>
      <c r="N226" s="66"/>
      <c r="O226" s="66"/>
      <c r="P226" s="64">
        <v>18500</v>
      </c>
      <c r="Q226" s="66"/>
      <c r="R226" s="66"/>
      <c r="S226" s="214"/>
      <c r="T226" s="219">
        <f t="shared" si="7"/>
        <v>18500</v>
      </c>
    </row>
    <row r="227" spans="1:20" ht="45">
      <c r="A227" s="17" t="s">
        <v>241</v>
      </c>
      <c r="B227" s="73">
        <v>1</v>
      </c>
      <c r="C227" s="67"/>
      <c r="D227" s="212">
        <v>12</v>
      </c>
      <c r="E227" s="218">
        <f t="shared" si="6"/>
        <v>222000</v>
      </c>
      <c r="F227" s="60" t="s">
        <v>166</v>
      </c>
      <c r="G227" s="66"/>
      <c r="H227" s="66"/>
      <c r="I227" s="66"/>
      <c r="J227" s="66"/>
      <c r="K227" s="66"/>
      <c r="L227" s="66"/>
      <c r="M227" s="66"/>
      <c r="N227" s="66"/>
      <c r="O227" s="66"/>
      <c r="P227" s="64">
        <v>18500</v>
      </c>
      <c r="Q227" s="66"/>
      <c r="R227" s="66"/>
      <c r="S227" s="214"/>
      <c r="T227" s="219">
        <f t="shared" si="7"/>
        <v>18500</v>
      </c>
    </row>
    <row r="228" spans="1:20" ht="45">
      <c r="A228" s="17" t="s">
        <v>242</v>
      </c>
      <c r="B228" s="73">
        <v>1</v>
      </c>
      <c r="C228" s="67"/>
      <c r="D228" s="212">
        <v>12</v>
      </c>
      <c r="E228" s="218">
        <f t="shared" si="6"/>
        <v>222000</v>
      </c>
      <c r="F228" s="60" t="s">
        <v>166</v>
      </c>
      <c r="G228" s="66"/>
      <c r="H228" s="66"/>
      <c r="I228" s="66"/>
      <c r="J228" s="66"/>
      <c r="K228" s="66"/>
      <c r="L228" s="66"/>
      <c r="M228" s="66"/>
      <c r="N228" s="66"/>
      <c r="O228" s="66"/>
      <c r="P228" s="64">
        <v>18500</v>
      </c>
      <c r="Q228" s="66"/>
      <c r="R228" s="66"/>
      <c r="S228" s="214"/>
      <c r="T228" s="219">
        <f t="shared" si="7"/>
        <v>18500</v>
      </c>
    </row>
    <row r="229" spans="1:20" ht="33.75">
      <c r="A229" s="17" t="s">
        <v>243</v>
      </c>
      <c r="B229" s="73">
        <v>1</v>
      </c>
      <c r="C229" s="67"/>
      <c r="D229" s="212">
        <v>12</v>
      </c>
      <c r="E229" s="218">
        <f t="shared" si="6"/>
        <v>222000</v>
      </c>
      <c r="F229" s="60" t="s">
        <v>166</v>
      </c>
      <c r="G229" s="66"/>
      <c r="H229" s="66"/>
      <c r="I229" s="66"/>
      <c r="J229" s="66"/>
      <c r="K229" s="66"/>
      <c r="L229" s="66"/>
      <c r="M229" s="66"/>
      <c r="N229" s="66"/>
      <c r="O229" s="66"/>
      <c r="P229" s="64">
        <v>18500</v>
      </c>
      <c r="Q229" s="66"/>
      <c r="R229" s="66"/>
      <c r="S229" s="214"/>
      <c r="T229" s="219">
        <f t="shared" si="7"/>
        <v>18500</v>
      </c>
    </row>
    <row r="230" spans="1:20" ht="33.75">
      <c r="A230" s="17" t="s">
        <v>240</v>
      </c>
      <c r="B230" s="73">
        <v>1</v>
      </c>
      <c r="C230" s="67"/>
      <c r="D230" s="212">
        <v>12</v>
      </c>
      <c r="E230" s="218">
        <f t="shared" si="6"/>
        <v>222000</v>
      </c>
      <c r="F230" s="60" t="s">
        <v>166</v>
      </c>
      <c r="G230" s="66"/>
      <c r="H230" s="66"/>
      <c r="I230" s="66"/>
      <c r="J230" s="66"/>
      <c r="K230" s="66"/>
      <c r="L230" s="66"/>
      <c r="M230" s="66"/>
      <c r="N230" s="66"/>
      <c r="O230" s="66"/>
      <c r="P230" s="64">
        <v>18500</v>
      </c>
      <c r="Q230" s="66"/>
      <c r="R230" s="66"/>
      <c r="S230" s="214"/>
      <c r="T230" s="219">
        <f t="shared" si="7"/>
        <v>18500</v>
      </c>
    </row>
    <row r="231" spans="1:20" ht="45">
      <c r="A231" s="17" t="s">
        <v>241</v>
      </c>
      <c r="B231" s="73">
        <v>1</v>
      </c>
      <c r="C231" s="67"/>
      <c r="D231" s="212">
        <v>12</v>
      </c>
      <c r="E231" s="218">
        <f t="shared" si="6"/>
        <v>222000</v>
      </c>
      <c r="F231" s="60" t="s">
        <v>166</v>
      </c>
      <c r="G231" s="66"/>
      <c r="H231" s="66"/>
      <c r="I231" s="66"/>
      <c r="J231" s="66"/>
      <c r="K231" s="66"/>
      <c r="L231" s="66"/>
      <c r="M231" s="66"/>
      <c r="N231" s="66"/>
      <c r="O231" s="66"/>
      <c r="P231" s="64">
        <v>18500</v>
      </c>
      <c r="Q231" s="66"/>
      <c r="R231" s="66"/>
      <c r="S231" s="214"/>
      <c r="T231" s="219">
        <f t="shared" si="7"/>
        <v>18500</v>
      </c>
    </row>
    <row r="232" spans="1:20" ht="22.5">
      <c r="A232" s="17" t="s">
        <v>244</v>
      </c>
      <c r="B232" s="73">
        <v>1</v>
      </c>
      <c r="C232" s="67"/>
      <c r="D232" s="212">
        <v>12</v>
      </c>
      <c r="E232" s="218">
        <f t="shared" si="6"/>
        <v>222000</v>
      </c>
      <c r="F232" s="60" t="s">
        <v>166</v>
      </c>
      <c r="G232" s="66"/>
      <c r="H232" s="66"/>
      <c r="I232" s="66"/>
      <c r="J232" s="66"/>
      <c r="K232" s="66"/>
      <c r="L232" s="66"/>
      <c r="M232" s="66"/>
      <c r="N232" s="66"/>
      <c r="O232" s="66"/>
      <c r="P232" s="64">
        <v>18500</v>
      </c>
      <c r="Q232" s="66"/>
      <c r="R232" s="66"/>
      <c r="S232" s="214"/>
      <c r="T232" s="219">
        <f t="shared" si="7"/>
        <v>18500</v>
      </c>
    </row>
    <row r="233" spans="1:20" ht="33.75">
      <c r="A233" s="17" t="s">
        <v>240</v>
      </c>
      <c r="B233" s="73">
        <v>1</v>
      </c>
      <c r="C233" s="67"/>
      <c r="D233" s="212">
        <v>12</v>
      </c>
      <c r="E233" s="218">
        <f t="shared" si="6"/>
        <v>222000</v>
      </c>
      <c r="F233" s="60" t="s">
        <v>166</v>
      </c>
      <c r="G233" s="66"/>
      <c r="H233" s="66"/>
      <c r="I233" s="66"/>
      <c r="J233" s="66"/>
      <c r="K233" s="66"/>
      <c r="L233" s="66"/>
      <c r="M233" s="66"/>
      <c r="N233" s="66"/>
      <c r="O233" s="66"/>
      <c r="P233" s="64">
        <v>18500</v>
      </c>
      <c r="Q233" s="66"/>
      <c r="R233" s="66"/>
      <c r="S233" s="214"/>
      <c r="T233" s="219">
        <f t="shared" si="7"/>
        <v>18500</v>
      </c>
    </row>
    <row r="234" spans="1:20" ht="33.75">
      <c r="A234" s="17" t="s">
        <v>240</v>
      </c>
      <c r="B234" s="73">
        <v>1</v>
      </c>
      <c r="C234" s="67"/>
      <c r="D234" s="212">
        <v>12</v>
      </c>
      <c r="E234" s="218">
        <f t="shared" si="6"/>
        <v>222000</v>
      </c>
      <c r="F234" s="60" t="s">
        <v>166</v>
      </c>
      <c r="G234" s="66"/>
      <c r="H234" s="66"/>
      <c r="I234" s="66"/>
      <c r="J234" s="66"/>
      <c r="K234" s="66"/>
      <c r="L234" s="66"/>
      <c r="M234" s="66"/>
      <c r="N234" s="66"/>
      <c r="O234" s="66"/>
      <c r="P234" s="64">
        <v>18500</v>
      </c>
      <c r="Q234" s="66"/>
      <c r="R234" s="66"/>
      <c r="S234" s="214"/>
      <c r="T234" s="219">
        <f t="shared" si="7"/>
        <v>18500</v>
      </c>
    </row>
    <row r="235" spans="1:20" ht="45">
      <c r="A235" s="17" t="s">
        <v>245</v>
      </c>
      <c r="B235" s="73">
        <v>1</v>
      </c>
      <c r="C235" s="67"/>
      <c r="D235" s="212">
        <v>12</v>
      </c>
      <c r="E235" s="218">
        <f t="shared" si="6"/>
        <v>210000</v>
      </c>
      <c r="F235" s="60" t="s">
        <v>166</v>
      </c>
      <c r="G235" s="66"/>
      <c r="H235" s="66"/>
      <c r="I235" s="66"/>
      <c r="J235" s="66"/>
      <c r="K235" s="66"/>
      <c r="L235" s="66"/>
      <c r="M235" s="66"/>
      <c r="N235" s="66"/>
      <c r="O235" s="66"/>
      <c r="P235" s="64">
        <v>17500</v>
      </c>
      <c r="Q235" s="66"/>
      <c r="R235" s="66"/>
      <c r="S235" s="214"/>
      <c r="T235" s="219">
        <f t="shared" si="7"/>
        <v>17500</v>
      </c>
    </row>
    <row r="236" spans="1:20" ht="33.75">
      <c r="A236" s="17" t="s">
        <v>246</v>
      </c>
      <c r="B236" s="73">
        <v>1</v>
      </c>
      <c r="C236" s="67"/>
      <c r="D236" s="212">
        <v>12</v>
      </c>
      <c r="E236" s="218">
        <f t="shared" si="6"/>
        <v>204000</v>
      </c>
      <c r="F236" s="60" t="s">
        <v>166</v>
      </c>
      <c r="G236" s="66"/>
      <c r="H236" s="66"/>
      <c r="I236" s="66"/>
      <c r="J236" s="66"/>
      <c r="K236" s="66"/>
      <c r="L236" s="66"/>
      <c r="M236" s="66"/>
      <c r="N236" s="66"/>
      <c r="O236" s="66"/>
      <c r="P236" s="64">
        <v>17000</v>
      </c>
      <c r="Q236" s="66"/>
      <c r="R236" s="66"/>
      <c r="S236" s="214"/>
      <c r="T236" s="219">
        <f t="shared" si="7"/>
        <v>17000</v>
      </c>
    </row>
    <row r="237" spans="1:20" ht="33.75">
      <c r="A237" s="17" t="s">
        <v>240</v>
      </c>
      <c r="B237" s="73">
        <v>1</v>
      </c>
      <c r="C237" s="67"/>
      <c r="D237" s="212">
        <v>12</v>
      </c>
      <c r="E237" s="218">
        <f t="shared" si="6"/>
        <v>204000</v>
      </c>
      <c r="F237" s="60" t="s">
        <v>166</v>
      </c>
      <c r="G237" s="66"/>
      <c r="H237" s="66"/>
      <c r="I237" s="66"/>
      <c r="J237" s="66"/>
      <c r="K237" s="66"/>
      <c r="L237" s="66"/>
      <c r="M237" s="66"/>
      <c r="N237" s="66"/>
      <c r="O237" s="66"/>
      <c r="P237" s="64">
        <v>17000</v>
      </c>
      <c r="Q237" s="66"/>
      <c r="R237" s="66"/>
      <c r="S237" s="214"/>
      <c r="T237" s="219">
        <f t="shared" si="7"/>
        <v>17000</v>
      </c>
    </row>
    <row r="238" spans="1:20" ht="33.75">
      <c r="A238" s="17" t="s">
        <v>243</v>
      </c>
      <c r="B238" s="73">
        <v>1</v>
      </c>
      <c r="C238" s="67"/>
      <c r="D238" s="212">
        <v>12</v>
      </c>
      <c r="E238" s="218">
        <f t="shared" si="6"/>
        <v>204000</v>
      </c>
      <c r="F238" s="60" t="s">
        <v>166</v>
      </c>
      <c r="G238" s="66"/>
      <c r="H238" s="66"/>
      <c r="I238" s="66"/>
      <c r="J238" s="66"/>
      <c r="K238" s="66"/>
      <c r="L238" s="66"/>
      <c r="M238" s="66"/>
      <c r="N238" s="66"/>
      <c r="O238" s="66"/>
      <c r="P238" s="64">
        <v>17000</v>
      </c>
      <c r="Q238" s="66"/>
      <c r="R238" s="66"/>
      <c r="S238" s="214"/>
      <c r="T238" s="219">
        <f t="shared" si="7"/>
        <v>17000</v>
      </c>
    </row>
    <row r="239" spans="1:20" ht="33.75">
      <c r="A239" s="17" t="s">
        <v>247</v>
      </c>
      <c r="B239" s="73">
        <v>1</v>
      </c>
      <c r="C239" s="67"/>
      <c r="D239" s="212">
        <v>12</v>
      </c>
      <c r="E239" s="218">
        <f t="shared" si="6"/>
        <v>210000</v>
      </c>
      <c r="F239" s="60" t="s">
        <v>166</v>
      </c>
      <c r="G239" s="66"/>
      <c r="H239" s="66"/>
      <c r="I239" s="66"/>
      <c r="J239" s="66"/>
      <c r="K239" s="66"/>
      <c r="L239" s="66"/>
      <c r="M239" s="66"/>
      <c r="N239" s="66"/>
      <c r="O239" s="66"/>
      <c r="P239" s="64">
        <v>17500</v>
      </c>
      <c r="Q239" s="66"/>
      <c r="R239" s="66"/>
      <c r="S239" s="214"/>
      <c r="T239" s="219">
        <f t="shared" si="7"/>
        <v>17500</v>
      </c>
    </row>
    <row r="240" spans="1:20" ht="33.75">
      <c r="A240" s="17" t="s">
        <v>246</v>
      </c>
      <c r="B240" s="73">
        <v>1</v>
      </c>
      <c r="C240" s="67"/>
      <c r="D240" s="212">
        <v>12</v>
      </c>
      <c r="E240" s="218">
        <f t="shared" si="6"/>
        <v>210000</v>
      </c>
      <c r="F240" s="60" t="s">
        <v>166</v>
      </c>
      <c r="G240" s="66"/>
      <c r="H240" s="66"/>
      <c r="I240" s="66"/>
      <c r="J240" s="66"/>
      <c r="K240" s="66"/>
      <c r="L240" s="66"/>
      <c r="M240" s="66"/>
      <c r="N240" s="66"/>
      <c r="O240" s="66"/>
      <c r="P240" s="64">
        <v>17500</v>
      </c>
      <c r="Q240" s="66"/>
      <c r="R240" s="66"/>
      <c r="S240" s="214"/>
      <c r="T240" s="219">
        <f t="shared" si="7"/>
        <v>17500</v>
      </c>
    </row>
    <row r="241" spans="1:20" ht="33.75">
      <c r="A241" s="17" t="s">
        <v>247</v>
      </c>
      <c r="B241" s="73">
        <v>1</v>
      </c>
      <c r="C241" s="67"/>
      <c r="D241" s="212">
        <v>12</v>
      </c>
      <c r="E241" s="218">
        <f t="shared" si="6"/>
        <v>204000</v>
      </c>
      <c r="F241" s="60" t="s">
        <v>166</v>
      </c>
      <c r="G241" s="66"/>
      <c r="H241" s="66"/>
      <c r="I241" s="66"/>
      <c r="J241" s="66"/>
      <c r="K241" s="66"/>
      <c r="L241" s="66"/>
      <c r="M241" s="66"/>
      <c r="N241" s="66"/>
      <c r="O241" s="66"/>
      <c r="P241" s="64">
        <v>17000</v>
      </c>
      <c r="Q241" s="66"/>
      <c r="R241" s="66"/>
      <c r="S241" s="214"/>
      <c r="T241" s="219">
        <f t="shared" si="7"/>
        <v>17000</v>
      </c>
    </row>
    <row r="242" spans="1:20" ht="33.75">
      <c r="A242" s="17" t="s">
        <v>240</v>
      </c>
      <c r="B242" s="73">
        <v>1</v>
      </c>
      <c r="C242" s="67"/>
      <c r="D242" s="212">
        <v>12</v>
      </c>
      <c r="E242" s="218">
        <f t="shared" si="6"/>
        <v>222000</v>
      </c>
      <c r="F242" s="60" t="s">
        <v>166</v>
      </c>
      <c r="G242" s="66"/>
      <c r="H242" s="66"/>
      <c r="I242" s="66"/>
      <c r="J242" s="66"/>
      <c r="K242" s="66"/>
      <c r="L242" s="66"/>
      <c r="M242" s="66"/>
      <c r="N242" s="66"/>
      <c r="O242" s="66"/>
      <c r="P242" s="64">
        <v>18500</v>
      </c>
      <c r="Q242" s="66"/>
      <c r="R242" s="66"/>
      <c r="S242" s="214"/>
      <c r="T242" s="219">
        <f t="shared" si="7"/>
        <v>18500</v>
      </c>
    </row>
    <row r="243" spans="1:20" ht="33.75">
      <c r="A243" s="17" t="s">
        <v>246</v>
      </c>
      <c r="B243" s="73">
        <v>1</v>
      </c>
      <c r="C243" s="67"/>
      <c r="D243" s="212">
        <v>12</v>
      </c>
      <c r="E243" s="218">
        <f t="shared" si="6"/>
        <v>210000</v>
      </c>
      <c r="F243" s="60" t="s">
        <v>166</v>
      </c>
      <c r="G243" s="66"/>
      <c r="H243" s="66"/>
      <c r="I243" s="66"/>
      <c r="J243" s="66"/>
      <c r="K243" s="66"/>
      <c r="L243" s="66"/>
      <c r="M243" s="66"/>
      <c r="N243" s="66"/>
      <c r="O243" s="66"/>
      <c r="P243" s="64">
        <v>17500</v>
      </c>
      <c r="Q243" s="66"/>
      <c r="R243" s="66"/>
      <c r="S243" s="214"/>
      <c r="T243" s="219">
        <f t="shared" si="7"/>
        <v>17500</v>
      </c>
    </row>
    <row r="244" spans="1:20" ht="33.75">
      <c r="A244" s="17" t="s">
        <v>218</v>
      </c>
      <c r="B244" s="73">
        <v>1</v>
      </c>
      <c r="C244" s="67"/>
      <c r="D244" s="212">
        <v>12</v>
      </c>
      <c r="E244" s="218">
        <f t="shared" si="6"/>
        <v>48000</v>
      </c>
      <c r="F244" s="60" t="s">
        <v>166</v>
      </c>
      <c r="G244" s="66"/>
      <c r="H244" s="66"/>
      <c r="I244" s="66"/>
      <c r="J244" s="66"/>
      <c r="K244" s="66"/>
      <c r="L244" s="66"/>
      <c r="M244" s="66"/>
      <c r="N244" s="66"/>
      <c r="O244" s="66"/>
      <c r="P244" s="64">
        <v>4000</v>
      </c>
      <c r="Q244" s="66"/>
      <c r="R244" s="66"/>
      <c r="S244" s="214"/>
      <c r="T244" s="219">
        <f t="shared" si="7"/>
        <v>4000</v>
      </c>
    </row>
    <row r="245" spans="1:20" ht="33.75">
      <c r="A245" s="17" t="s">
        <v>246</v>
      </c>
      <c r="B245" s="73">
        <v>1</v>
      </c>
      <c r="C245" s="67"/>
      <c r="D245" s="212">
        <v>12</v>
      </c>
      <c r="E245" s="218">
        <f t="shared" si="6"/>
        <v>204000</v>
      </c>
      <c r="F245" s="60" t="s">
        <v>166</v>
      </c>
      <c r="G245" s="66"/>
      <c r="H245" s="66"/>
      <c r="I245" s="66"/>
      <c r="J245" s="66"/>
      <c r="K245" s="66"/>
      <c r="L245" s="66"/>
      <c r="M245" s="66"/>
      <c r="N245" s="66"/>
      <c r="O245" s="66"/>
      <c r="P245" s="64">
        <v>17000</v>
      </c>
      <c r="Q245" s="66"/>
      <c r="R245" s="66"/>
      <c r="S245" s="214"/>
      <c r="T245" s="219">
        <f t="shared" si="7"/>
        <v>17000</v>
      </c>
    </row>
    <row r="246" spans="1:20" ht="33.75">
      <c r="A246" s="17" t="s">
        <v>247</v>
      </c>
      <c r="B246" s="73">
        <v>1</v>
      </c>
      <c r="C246" s="67"/>
      <c r="D246" s="212">
        <v>12</v>
      </c>
      <c r="E246" s="218">
        <f t="shared" si="6"/>
        <v>210000</v>
      </c>
      <c r="F246" s="60" t="s">
        <v>166</v>
      </c>
      <c r="G246" s="66"/>
      <c r="H246" s="66"/>
      <c r="I246" s="66"/>
      <c r="J246" s="66"/>
      <c r="K246" s="66"/>
      <c r="L246" s="66"/>
      <c r="M246" s="66"/>
      <c r="N246" s="66"/>
      <c r="O246" s="66"/>
      <c r="P246" s="64">
        <v>17500</v>
      </c>
      <c r="Q246" s="66"/>
      <c r="R246" s="66"/>
      <c r="S246" s="214"/>
      <c r="T246" s="219">
        <f t="shared" si="7"/>
        <v>17500</v>
      </c>
    </row>
    <row r="247" spans="1:20" ht="33.75">
      <c r="A247" s="17" t="s">
        <v>247</v>
      </c>
      <c r="B247" s="73">
        <v>1</v>
      </c>
      <c r="C247" s="67"/>
      <c r="D247" s="212">
        <v>12</v>
      </c>
      <c r="E247" s="218">
        <f t="shared" si="6"/>
        <v>204000</v>
      </c>
      <c r="F247" s="60" t="s">
        <v>166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4">
        <v>17000</v>
      </c>
      <c r="Q247" s="66"/>
      <c r="R247" s="66"/>
      <c r="S247" s="214"/>
      <c r="T247" s="219">
        <f t="shared" si="7"/>
        <v>17000</v>
      </c>
    </row>
    <row r="248" spans="1:20" ht="33.75">
      <c r="A248" s="17" t="s">
        <v>246</v>
      </c>
      <c r="B248" s="73">
        <v>1</v>
      </c>
      <c r="C248" s="67"/>
      <c r="D248" s="212">
        <v>12</v>
      </c>
      <c r="E248" s="218">
        <f t="shared" si="6"/>
        <v>162000</v>
      </c>
      <c r="F248" s="60" t="s">
        <v>166</v>
      </c>
      <c r="G248" s="66"/>
      <c r="H248" s="66"/>
      <c r="I248" s="66"/>
      <c r="J248" s="66"/>
      <c r="K248" s="66"/>
      <c r="L248" s="66"/>
      <c r="M248" s="66"/>
      <c r="N248" s="66"/>
      <c r="O248" s="66"/>
      <c r="P248" s="64">
        <v>13500</v>
      </c>
      <c r="Q248" s="66"/>
      <c r="R248" s="66"/>
      <c r="S248" s="214"/>
      <c r="T248" s="219">
        <f t="shared" si="7"/>
        <v>13500</v>
      </c>
    </row>
    <row r="249" spans="1:20" ht="33.75">
      <c r="A249" s="17" t="s">
        <v>243</v>
      </c>
      <c r="B249" s="73">
        <v>1</v>
      </c>
      <c r="C249" s="67"/>
      <c r="D249" s="212">
        <v>12</v>
      </c>
      <c r="E249" s="218">
        <f t="shared" si="6"/>
        <v>222000</v>
      </c>
      <c r="F249" s="60" t="s">
        <v>166</v>
      </c>
      <c r="G249" s="66"/>
      <c r="H249" s="66"/>
      <c r="I249" s="66"/>
      <c r="J249" s="66"/>
      <c r="K249" s="66"/>
      <c r="L249" s="66"/>
      <c r="M249" s="66"/>
      <c r="N249" s="66"/>
      <c r="O249" s="66"/>
      <c r="P249" s="64">
        <v>18500</v>
      </c>
      <c r="Q249" s="66"/>
      <c r="R249" s="66"/>
      <c r="S249" s="214"/>
      <c r="T249" s="219">
        <f t="shared" si="7"/>
        <v>18500</v>
      </c>
    </row>
    <row r="250" spans="1:20" ht="33.75">
      <c r="A250" s="17" t="s">
        <v>240</v>
      </c>
      <c r="B250" s="73">
        <v>1</v>
      </c>
      <c r="C250" s="67"/>
      <c r="D250" s="212">
        <v>12</v>
      </c>
      <c r="E250" s="218">
        <f t="shared" si="6"/>
        <v>222000</v>
      </c>
      <c r="F250" s="60" t="s">
        <v>166</v>
      </c>
      <c r="G250" s="66"/>
      <c r="H250" s="66"/>
      <c r="I250" s="66"/>
      <c r="J250" s="66"/>
      <c r="K250" s="66"/>
      <c r="L250" s="66"/>
      <c r="M250" s="66"/>
      <c r="N250" s="66"/>
      <c r="O250" s="66"/>
      <c r="P250" s="64">
        <v>18500</v>
      </c>
      <c r="Q250" s="66"/>
      <c r="R250" s="66"/>
      <c r="S250" s="214"/>
      <c r="T250" s="219">
        <f t="shared" si="7"/>
        <v>18500</v>
      </c>
    </row>
    <row r="251" spans="1:20" ht="33.75">
      <c r="A251" s="17" t="s">
        <v>246</v>
      </c>
      <c r="B251" s="73">
        <v>1</v>
      </c>
      <c r="C251" s="67"/>
      <c r="D251" s="212">
        <v>12</v>
      </c>
      <c r="E251" s="218">
        <f t="shared" si="6"/>
        <v>162000</v>
      </c>
      <c r="F251" s="60" t="s">
        <v>166</v>
      </c>
      <c r="G251" s="66"/>
      <c r="H251" s="66"/>
      <c r="I251" s="66"/>
      <c r="J251" s="66"/>
      <c r="K251" s="66"/>
      <c r="L251" s="66"/>
      <c r="M251" s="66"/>
      <c r="N251" s="66"/>
      <c r="O251" s="66"/>
      <c r="P251" s="64">
        <v>13500</v>
      </c>
      <c r="Q251" s="66"/>
      <c r="R251" s="66"/>
      <c r="S251" s="214"/>
      <c r="T251" s="219">
        <f t="shared" si="7"/>
        <v>13500</v>
      </c>
    </row>
    <row r="252" spans="1:20" ht="33.75">
      <c r="A252" s="17" t="s">
        <v>239</v>
      </c>
      <c r="B252" s="73">
        <v>1</v>
      </c>
      <c r="C252" s="67"/>
      <c r="D252" s="212">
        <v>12</v>
      </c>
      <c r="E252" s="218">
        <f t="shared" si="6"/>
        <v>138000</v>
      </c>
      <c r="F252" s="60" t="s">
        <v>166</v>
      </c>
      <c r="G252" s="66"/>
      <c r="H252" s="66"/>
      <c r="I252" s="66"/>
      <c r="J252" s="66"/>
      <c r="K252" s="66"/>
      <c r="L252" s="66"/>
      <c r="M252" s="66"/>
      <c r="N252" s="66"/>
      <c r="O252" s="66"/>
      <c r="P252" s="64">
        <v>11500</v>
      </c>
      <c r="Q252" s="66"/>
      <c r="R252" s="66"/>
      <c r="S252" s="214"/>
      <c r="T252" s="219">
        <f t="shared" si="7"/>
        <v>11500</v>
      </c>
    </row>
    <row r="253" spans="1:20" ht="33.75">
      <c r="A253" s="17" t="s">
        <v>247</v>
      </c>
      <c r="B253" s="73">
        <v>1</v>
      </c>
      <c r="C253" s="67"/>
      <c r="D253" s="212">
        <v>12</v>
      </c>
      <c r="E253" s="218">
        <f t="shared" si="6"/>
        <v>138000</v>
      </c>
      <c r="F253" s="60" t="s">
        <v>166</v>
      </c>
      <c r="G253" s="66"/>
      <c r="H253" s="66"/>
      <c r="I253" s="66"/>
      <c r="J253" s="66"/>
      <c r="K253" s="66"/>
      <c r="L253" s="66"/>
      <c r="M253" s="66"/>
      <c r="N253" s="66"/>
      <c r="O253" s="66"/>
      <c r="P253" s="64">
        <v>11500</v>
      </c>
      <c r="Q253" s="66"/>
      <c r="R253" s="66"/>
      <c r="S253" s="214"/>
      <c r="T253" s="219">
        <f t="shared" si="7"/>
        <v>11500</v>
      </c>
    </row>
    <row r="254" spans="1:20" ht="33.75">
      <c r="A254" s="17" t="s">
        <v>247</v>
      </c>
      <c r="B254" s="73">
        <v>1</v>
      </c>
      <c r="C254" s="67"/>
      <c r="D254" s="212">
        <v>12</v>
      </c>
      <c r="E254" s="218">
        <f t="shared" si="6"/>
        <v>192000</v>
      </c>
      <c r="F254" s="60" t="s">
        <v>166</v>
      </c>
      <c r="G254" s="66"/>
      <c r="H254" s="66"/>
      <c r="I254" s="66"/>
      <c r="J254" s="66"/>
      <c r="K254" s="66"/>
      <c r="L254" s="66"/>
      <c r="M254" s="66"/>
      <c r="N254" s="66"/>
      <c r="O254" s="66"/>
      <c r="P254" s="64">
        <v>16000</v>
      </c>
      <c r="Q254" s="66"/>
      <c r="R254" s="66"/>
      <c r="S254" s="214"/>
      <c r="T254" s="219">
        <f t="shared" si="7"/>
        <v>16000</v>
      </c>
    </row>
    <row r="255" spans="1:20" ht="33.75">
      <c r="A255" s="17" t="s">
        <v>246</v>
      </c>
      <c r="B255" s="73">
        <v>1</v>
      </c>
      <c r="C255" s="67"/>
      <c r="D255" s="212">
        <v>12</v>
      </c>
      <c r="E255" s="218">
        <f t="shared" si="6"/>
        <v>204000</v>
      </c>
      <c r="F255" s="60" t="s">
        <v>166</v>
      </c>
      <c r="G255" s="66"/>
      <c r="H255" s="66"/>
      <c r="I255" s="66"/>
      <c r="J255" s="66"/>
      <c r="K255" s="66"/>
      <c r="L255" s="66"/>
      <c r="M255" s="66"/>
      <c r="N255" s="66"/>
      <c r="O255" s="66"/>
      <c r="P255" s="64">
        <v>17000</v>
      </c>
      <c r="Q255" s="66"/>
      <c r="R255" s="66"/>
      <c r="S255" s="214"/>
      <c r="T255" s="219">
        <f t="shared" si="7"/>
        <v>17000</v>
      </c>
    </row>
    <row r="256" spans="1:20" ht="33.75">
      <c r="A256" s="17" t="s">
        <v>239</v>
      </c>
      <c r="B256" s="73">
        <v>1</v>
      </c>
      <c r="C256" s="67"/>
      <c r="D256" s="212">
        <v>12</v>
      </c>
      <c r="E256" s="218">
        <f t="shared" si="6"/>
        <v>138000</v>
      </c>
      <c r="F256" s="60" t="s">
        <v>166</v>
      </c>
      <c r="G256" s="66"/>
      <c r="H256" s="66"/>
      <c r="I256" s="66"/>
      <c r="J256" s="66"/>
      <c r="K256" s="66"/>
      <c r="L256" s="66"/>
      <c r="M256" s="66"/>
      <c r="N256" s="66"/>
      <c r="O256" s="66"/>
      <c r="P256" s="64">
        <v>11500</v>
      </c>
      <c r="Q256" s="66"/>
      <c r="R256" s="66"/>
      <c r="S256" s="214"/>
      <c r="T256" s="219">
        <f t="shared" si="7"/>
        <v>11500</v>
      </c>
    </row>
    <row r="257" spans="1:20" ht="33.75">
      <c r="A257" s="17" t="s">
        <v>246</v>
      </c>
      <c r="B257" s="73">
        <v>1</v>
      </c>
      <c r="C257" s="67"/>
      <c r="D257" s="212">
        <v>12</v>
      </c>
      <c r="E257" s="218">
        <f t="shared" si="6"/>
        <v>204000</v>
      </c>
      <c r="F257" s="60" t="s">
        <v>166</v>
      </c>
      <c r="G257" s="66"/>
      <c r="H257" s="66"/>
      <c r="I257" s="66"/>
      <c r="J257" s="66"/>
      <c r="K257" s="66"/>
      <c r="L257" s="66"/>
      <c r="M257" s="66"/>
      <c r="N257" s="66"/>
      <c r="O257" s="66"/>
      <c r="P257" s="64">
        <v>17000</v>
      </c>
      <c r="Q257" s="66"/>
      <c r="R257" s="66"/>
      <c r="S257" s="214"/>
      <c r="T257" s="219">
        <f t="shared" si="7"/>
        <v>17000</v>
      </c>
    </row>
    <row r="258" spans="1:20" ht="33.75">
      <c r="A258" s="17" t="s">
        <v>239</v>
      </c>
      <c r="B258" s="73">
        <v>1</v>
      </c>
      <c r="C258" s="67"/>
      <c r="D258" s="212">
        <v>12</v>
      </c>
      <c r="E258" s="218">
        <f t="shared" si="6"/>
        <v>138000</v>
      </c>
      <c r="F258" s="60" t="s">
        <v>166</v>
      </c>
      <c r="G258" s="66"/>
      <c r="H258" s="66"/>
      <c r="I258" s="66"/>
      <c r="J258" s="66"/>
      <c r="K258" s="66"/>
      <c r="L258" s="66"/>
      <c r="M258" s="66"/>
      <c r="N258" s="66"/>
      <c r="O258" s="66"/>
      <c r="P258" s="64">
        <v>11500</v>
      </c>
      <c r="Q258" s="66"/>
      <c r="R258" s="66"/>
      <c r="S258" s="214"/>
      <c r="T258" s="219">
        <f t="shared" si="7"/>
        <v>11500</v>
      </c>
    </row>
    <row r="259" spans="1:20" ht="33.75">
      <c r="A259" s="17" t="s">
        <v>246</v>
      </c>
      <c r="B259" s="73">
        <v>1</v>
      </c>
      <c r="C259" s="67"/>
      <c r="D259" s="212">
        <v>12</v>
      </c>
      <c r="E259" s="218">
        <f t="shared" si="6"/>
        <v>210000</v>
      </c>
      <c r="F259" s="60" t="s">
        <v>166</v>
      </c>
      <c r="G259" s="66"/>
      <c r="H259" s="66"/>
      <c r="I259" s="66"/>
      <c r="J259" s="66"/>
      <c r="K259" s="66"/>
      <c r="L259" s="66"/>
      <c r="M259" s="66"/>
      <c r="N259" s="66"/>
      <c r="O259" s="66"/>
      <c r="P259" s="64">
        <v>17500</v>
      </c>
      <c r="Q259" s="66"/>
      <c r="R259" s="66"/>
      <c r="S259" s="214"/>
      <c r="T259" s="219">
        <f t="shared" si="7"/>
        <v>17500</v>
      </c>
    </row>
    <row r="260" spans="1:20" ht="33.75">
      <c r="A260" s="17" t="s">
        <v>239</v>
      </c>
      <c r="B260" s="73">
        <v>1</v>
      </c>
      <c r="C260" s="67"/>
      <c r="D260" s="212">
        <v>12</v>
      </c>
      <c r="E260" s="218">
        <f t="shared" si="6"/>
        <v>138000</v>
      </c>
      <c r="F260" s="60" t="s">
        <v>166</v>
      </c>
      <c r="G260" s="66"/>
      <c r="H260" s="66"/>
      <c r="I260" s="66"/>
      <c r="J260" s="66"/>
      <c r="K260" s="66"/>
      <c r="L260" s="66"/>
      <c r="M260" s="66"/>
      <c r="N260" s="66"/>
      <c r="O260" s="66"/>
      <c r="P260" s="64">
        <v>11500</v>
      </c>
      <c r="Q260" s="66"/>
      <c r="R260" s="66"/>
      <c r="S260" s="214"/>
      <c r="T260" s="219">
        <f t="shared" si="7"/>
        <v>11500</v>
      </c>
    </row>
    <row r="261" spans="1:20" ht="33.75">
      <c r="A261" s="17" t="s">
        <v>239</v>
      </c>
      <c r="B261" s="73">
        <v>1</v>
      </c>
      <c r="C261" s="67"/>
      <c r="D261" s="212">
        <v>12</v>
      </c>
      <c r="E261" s="218">
        <f t="shared" si="6"/>
        <v>138000</v>
      </c>
      <c r="F261" s="60" t="s">
        <v>166</v>
      </c>
      <c r="G261" s="66"/>
      <c r="H261" s="66"/>
      <c r="I261" s="66"/>
      <c r="J261" s="66"/>
      <c r="K261" s="66"/>
      <c r="L261" s="66"/>
      <c r="M261" s="66"/>
      <c r="N261" s="66"/>
      <c r="O261" s="66"/>
      <c r="P261" s="64">
        <v>11500</v>
      </c>
      <c r="Q261" s="66"/>
      <c r="R261" s="66"/>
      <c r="S261" s="214"/>
      <c r="T261" s="219">
        <f t="shared" si="7"/>
        <v>11500</v>
      </c>
    </row>
    <row r="262" spans="1:20" ht="33.75">
      <c r="A262" s="17" t="s">
        <v>239</v>
      </c>
      <c r="B262" s="73">
        <v>1</v>
      </c>
      <c r="C262" s="67"/>
      <c r="D262" s="212">
        <v>12</v>
      </c>
      <c r="E262" s="218">
        <f t="shared" si="6"/>
        <v>138000</v>
      </c>
      <c r="F262" s="60" t="s">
        <v>166</v>
      </c>
      <c r="G262" s="66"/>
      <c r="H262" s="66"/>
      <c r="I262" s="66"/>
      <c r="J262" s="66"/>
      <c r="K262" s="66"/>
      <c r="L262" s="66"/>
      <c r="M262" s="66"/>
      <c r="N262" s="66"/>
      <c r="O262" s="66"/>
      <c r="P262" s="64">
        <v>11500</v>
      </c>
      <c r="Q262" s="66"/>
      <c r="R262" s="66"/>
      <c r="S262" s="214"/>
      <c r="T262" s="219">
        <f t="shared" si="7"/>
        <v>11500</v>
      </c>
    </row>
    <row r="263" spans="1:20" ht="33.75">
      <c r="A263" s="17" t="s">
        <v>239</v>
      </c>
      <c r="B263" s="73">
        <v>1</v>
      </c>
      <c r="C263" s="67"/>
      <c r="D263" s="212">
        <v>12</v>
      </c>
      <c r="E263" s="218">
        <f t="shared" ref="E263:E326" si="8">T263*12</f>
        <v>138000</v>
      </c>
      <c r="F263" s="60" t="s">
        <v>166</v>
      </c>
      <c r="G263" s="66"/>
      <c r="H263" s="66"/>
      <c r="I263" s="66"/>
      <c r="J263" s="66"/>
      <c r="K263" s="66"/>
      <c r="L263" s="66"/>
      <c r="M263" s="66"/>
      <c r="N263" s="66"/>
      <c r="O263" s="66"/>
      <c r="P263" s="64">
        <v>11500</v>
      </c>
      <c r="Q263" s="66"/>
      <c r="R263" s="66"/>
      <c r="S263" s="214"/>
      <c r="T263" s="219">
        <f t="shared" si="7"/>
        <v>11500</v>
      </c>
    </row>
    <row r="264" spans="1:20" ht="33.75">
      <c r="A264" s="17" t="s">
        <v>240</v>
      </c>
      <c r="B264" s="73">
        <v>1</v>
      </c>
      <c r="C264" s="67"/>
      <c r="D264" s="212">
        <v>12</v>
      </c>
      <c r="E264" s="218">
        <f t="shared" si="8"/>
        <v>204000</v>
      </c>
      <c r="F264" s="60" t="s">
        <v>166</v>
      </c>
      <c r="G264" s="66"/>
      <c r="H264" s="66"/>
      <c r="I264" s="66"/>
      <c r="J264" s="66"/>
      <c r="K264" s="66"/>
      <c r="L264" s="66"/>
      <c r="M264" s="66"/>
      <c r="N264" s="66"/>
      <c r="O264" s="66"/>
      <c r="P264" s="64">
        <v>17000</v>
      </c>
      <c r="Q264" s="66"/>
      <c r="R264" s="66"/>
      <c r="S264" s="214"/>
      <c r="T264" s="219">
        <f t="shared" ref="T264:T327" si="9">SUM(G264:S264)</f>
        <v>17000</v>
      </c>
    </row>
    <row r="265" spans="1:20" ht="33.75">
      <c r="A265" s="17" t="s">
        <v>239</v>
      </c>
      <c r="B265" s="73">
        <v>1</v>
      </c>
      <c r="C265" s="67"/>
      <c r="D265" s="212">
        <v>12</v>
      </c>
      <c r="E265" s="218">
        <f t="shared" si="8"/>
        <v>138000</v>
      </c>
      <c r="F265" s="60" t="s">
        <v>166</v>
      </c>
      <c r="G265" s="66"/>
      <c r="H265" s="66"/>
      <c r="I265" s="66"/>
      <c r="J265" s="66"/>
      <c r="K265" s="66"/>
      <c r="L265" s="66"/>
      <c r="M265" s="66"/>
      <c r="N265" s="66"/>
      <c r="O265" s="66"/>
      <c r="P265" s="64">
        <v>11500</v>
      </c>
      <c r="Q265" s="66"/>
      <c r="R265" s="66"/>
      <c r="S265" s="214"/>
      <c r="T265" s="219">
        <f t="shared" si="9"/>
        <v>11500</v>
      </c>
    </row>
    <row r="266" spans="1:20" ht="33.75">
      <c r="A266" s="17" t="s">
        <v>239</v>
      </c>
      <c r="B266" s="73">
        <v>1</v>
      </c>
      <c r="C266" s="67"/>
      <c r="D266" s="212">
        <v>12</v>
      </c>
      <c r="E266" s="218">
        <f t="shared" si="8"/>
        <v>138000</v>
      </c>
      <c r="F266" s="60" t="s">
        <v>166</v>
      </c>
      <c r="G266" s="66"/>
      <c r="H266" s="66"/>
      <c r="I266" s="66"/>
      <c r="J266" s="66"/>
      <c r="K266" s="66"/>
      <c r="L266" s="66"/>
      <c r="M266" s="66"/>
      <c r="N266" s="66"/>
      <c r="O266" s="66"/>
      <c r="P266" s="64">
        <v>11500</v>
      </c>
      <c r="Q266" s="66"/>
      <c r="R266" s="66"/>
      <c r="S266" s="214"/>
      <c r="T266" s="219">
        <f t="shared" si="9"/>
        <v>11500</v>
      </c>
    </row>
    <row r="267" spans="1:20" ht="33.75">
      <c r="A267" s="17" t="s">
        <v>239</v>
      </c>
      <c r="B267" s="73">
        <v>1</v>
      </c>
      <c r="C267" s="67"/>
      <c r="D267" s="212">
        <v>12</v>
      </c>
      <c r="E267" s="218">
        <f t="shared" si="8"/>
        <v>138000</v>
      </c>
      <c r="F267" s="60" t="s">
        <v>166</v>
      </c>
      <c r="G267" s="66"/>
      <c r="H267" s="66"/>
      <c r="I267" s="66"/>
      <c r="J267" s="66"/>
      <c r="K267" s="66"/>
      <c r="L267" s="66"/>
      <c r="M267" s="66"/>
      <c r="N267" s="66"/>
      <c r="O267" s="66"/>
      <c r="P267" s="64">
        <v>11500</v>
      </c>
      <c r="Q267" s="66"/>
      <c r="R267" s="66"/>
      <c r="S267" s="214"/>
      <c r="T267" s="219">
        <f t="shared" si="9"/>
        <v>11500</v>
      </c>
    </row>
    <row r="268" spans="1:20" ht="33.75">
      <c r="A268" s="17" t="s">
        <v>246</v>
      </c>
      <c r="B268" s="73">
        <v>1</v>
      </c>
      <c r="C268" s="67"/>
      <c r="D268" s="212">
        <v>12</v>
      </c>
      <c r="E268" s="218">
        <f t="shared" si="8"/>
        <v>192000</v>
      </c>
      <c r="F268" s="60" t="s">
        <v>166</v>
      </c>
      <c r="G268" s="66"/>
      <c r="H268" s="66"/>
      <c r="I268" s="66"/>
      <c r="J268" s="66"/>
      <c r="K268" s="66"/>
      <c r="L268" s="66"/>
      <c r="M268" s="66"/>
      <c r="N268" s="66"/>
      <c r="O268" s="66"/>
      <c r="P268" s="64">
        <v>16000</v>
      </c>
      <c r="Q268" s="66"/>
      <c r="R268" s="66"/>
      <c r="S268" s="214"/>
      <c r="T268" s="219">
        <f t="shared" si="9"/>
        <v>16000</v>
      </c>
    </row>
    <row r="269" spans="1:20" ht="33.75">
      <c r="A269" s="17" t="s">
        <v>240</v>
      </c>
      <c r="B269" s="73">
        <v>1</v>
      </c>
      <c r="C269" s="67"/>
      <c r="D269" s="212">
        <v>12</v>
      </c>
      <c r="E269" s="218">
        <f t="shared" si="8"/>
        <v>204000</v>
      </c>
      <c r="F269" s="60" t="s">
        <v>166</v>
      </c>
      <c r="G269" s="66"/>
      <c r="H269" s="66"/>
      <c r="I269" s="66"/>
      <c r="J269" s="66"/>
      <c r="K269" s="66"/>
      <c r="L269" s="66"/>
      <c r="M269" s="66"/>
      <c r="N269" s="66"/>
      <c r="O269" s="66"/>
      <c r="P269" s="64">
        <v>17000</v>
      </c>
      <c r="Q269" s="66"/>
      <c r="R269" s="66"/>
      <c r="S269" s="214"/>
      <c r="T269" s="219">
        <f t="shared" si="9"/>
        <v>17000</v>
      </c>
    </row>
    <row r="270" spans="1:20" ht="33.75">
      <c r="A270" s="17" t="s">
        <v>246</v>
      </c>
      <c r="B270" s="73">
        <v>1</v>
      </c>
      <c r="C270" s="67"/>
      <c r="D270" s="212">
        <v>12</v>
      </c>
      <c r="E270" s="218">
        <f t="shared" si="8"/>
        <v>192000</v>
      </c>
      <c r="F270" s="60" t="s">
        <v>166</v>
      </c>
      <c r="G270" s="66"/>
      <c r="H270" s="66"/>
      <c r="I270" s="66"/>
      <c r="J270" s="66"/>
      <c r="K270" s="66"/>
      <c r="L270" s="66"/>
      <c r="M270" s="66"/>
      <c r="N270" s="66"/>
      <c r="O270" s="66"/>
      <c r="P270" s="64">
        <v>16000</v>
      </c>
      <c r="Q270" s="66"/>
      <c r="R270" s="66"/>
      <c r="S270" s="214"/>
      <c r="T270" s="219">
        <f t="shared" si="9"/>
        <v>16000</v>
      </c>
    </row>
    <row r="271" spans="1:20" ht="33.75">
      <c r="A271" s="17" t="s">
        <v>246</v>
      </c>
      <c r="B271" s="73">
        <v>1</v>
      </c>
      <c r="C271" s="67"/>
      <c r="D271" s="212">
        <v>12</v>
      </c>
      <c r="E271" s="218">
        <f t="shared" si="8"/>
        <v>138000</v>
      </c>
      <c r="F271" s="60" t="s">
        <v>166</v>
      </c>
      <c r="G271" s="66"/>
      <c r="H271" s="66"/>
      <c r="I271" s="66"/>
      <c r="J271" s="66"/>
      <c r="K271" s="66"/>
      <c r="L271" s="66"/>
      <c r="M271" s="66"/>
      <c r="N271" s="66"/>
      <c r="O271" s="66"/>
      <c r="P271" s="64">
        <v>11500</v>
      </c>
      <c r="Q271" s="66"/>
      <c r="R271" s="66"/>
      <c r="S271" s="214"/>
      <c r="T271" s="219">
        <f t="shared" si="9"/>
        <v>11500</v>
      </c>
    </row>
    <row r="272" spans="1:20" ht="33.75">
      <c r="A272" s="17" t="s">
        <v>239</v>
      </c>
      <c r="B272" s="73">
        <v>1</v>
      </c>
      <c r="C272" s="67"/>
      <c r="D272" s="212">
        <v>12</v>
      </c>
      <c r="E272" s="218">
        <f t="shared" si="8"/>
        <v>138000</v>
      </c>
      <c r="F272" s="60" t="s">
        <v>166</v>
      </c>
      <c r="G272" s="66"/>
      <c r="H272" s="66"/>
      <c r="I272" s="66"/>
      <c r="J272" s="66"/>
      <c r="K272" s="66"/>
      <c r="L272" s="66"/>
      <c r="M272" s="66"/>
      <c r="N272" s="66"/>
      <c r="O272" s="66"/>
      <c r="P272" s="64">
        <v>11500</v>
      </c>
      <c r="Q272" s="66"/>
      <c r="R272" s="66"/>
      <c r="S272" s="214"/>
      <c r="T272" s="219">
        <f t="shared" si="9"/>
        <v>11500</v>
      </c>
    </row>
    <row r="273" spans="1:20" ht="33.75">
      <c r="A273" s="17" t="s">
        <v>239</v>
      </c>
      <c r="B273" s="73">
        <v>1</v>
      </c>
      <c r="C273" s="67"/>
      <c r="D273" s="212">
        <v>12</v>
      </c>
      <c r="E273" s="218">
        <f t="shared" si="8"/>
        <v>138000</v>
      </c>
      <c r="F273" s="60" t="s">
        <v>166</v>
      </c>
      <c r="G273" s="66"/>
      <c r="H273" s="66"/>
      <c r="I273" s="66"/>
      <c r="J273" s="66"/>
      <c r="K273" s="66"/>
      <c r="L273" s="66"/>
      <c r="M273" s="66"/>
      <c r="N273" s="66"/>
      <c r="O273" s="66"/>
      <c r="P273" s="64">
        <v>11500</v>
      </c>
      <c r="Q273" s="66"/>
      <c r="R273" s="66"/>
      <c r="S273" s="214"/>
      <c r="T273" s="219">
        <f t="shared" si="9"/>
        <v>11500</v>
      </c>
    </row>
    <row r="274" spans="1:20" ht="33.75">
      <c r="A274" s="17" t="s">
        <v>239</v>
      </c>
      <c r="B274" s="73">
        <v>1</v>
      </c>
      <c r="C274" s="67"/>
      <c r="D274" s="212">
        <v>12</v>
      </c>
      <c r="E274" s="218">
        <f t="shared" si="8"/>
        <v>138000</v>
      </c>
      <c r="F274" s="60" t="s">
        <v>166</v>
      </c>
      <c r="G274" s="66"/>
      <c r="H274" s="66"/>
      <c r="I274" s="66"/>
      <c r="J274" s="66"/>
      <c r="K274" s="66"/>
      <c r="L274" s="66"/>
      <c r="M274" s="66"/>
      <c r="N274" s="66"/>
      <c r="O274" s="66"/>
      <c r="P274" s="64">
        <v>11500</v>
      </c>
      <c r="Q274" s="66"/>
      <c r="R274" s="66"/>
      <c r="S274" s="214"/>
      <c r="T274" s="219">
        <f t="shared" si="9"/>
        <v>11500</v>
      </c>
    </row>
    <row r="275" spans="1:20" ht="33.75">
      <c r="A275" s="17" t="s">
        <v>248</v>
      </c>
      <c r="B275" s="73">
        <v>1</v>
      </c>
      <c r="C275" s="67"/>
      <c r="D275" s="212">
        <v>12</v>
      </c>
      <c r="E275" s="218">
        <f t="shared" si="8"/>
        <v>222000</v>
      </c>
      <c r="F275" s="60" t="s">
        <v>166</v>
      </c>
      <c r="G275" s="66"/>
      <c r="H275" s="66"/>
      <c r="I275" s="66"/>
      <c r="J275" s="66"/>
      <c r="K275" s="66"/>
      <c r="L275" s="66"/>
      <c r="M275" s="66"/>
      <c r="N275" s="66"/>
      <c r="O275" s="66"/>
      <c r="P275" s="64">
        <v>18500</v>
      </c>
      <c r="Q275" s="66"/>
      <c r="R275" s="66"/>
      <c r="S275" s="214"/>
      <c r="T275" s="219">
        <f t="shared" si="9"/>
        <v>18500</v>
      </c>
    </row>
    <row r="276" spans="1:20" ht="33.75">
      <c r="A276" s="17" t="s">
        <v>246</v>
      </c>
      <c r="B276" s="73">
        <v>1</v>
      </c>
      <c r="C276" s="67"/>
      <c r="D276" s="212">
        <v>12</v>
      </c>
      <c r="E276" s="218">
        <f t="shared" si="8"/>
        <v>162000</v>
      </c>
      <c r="F276" s="60" t="s">
        <v>166</v>
      </c>
      <c r="G276" s="66"/>
      <c r="H276" s="66"/>
      <c r="I276" s="66"/>
      <c r="J276" s="66"/>
      <c r="K276" s="66"/>
      <c r="L276" s="66"/>
      <c r="M276" s="66"/>
      <c r="N276" s="66"/>
      <c r="O276" s="66"/>
      <c r="P276" s="64">
        <v>13500</v>
      </c>
      <c r="Q276" s="66"/>
      <c r="R276" s="66"/>
      <c r="S276" s="214"/>
      <c r="T276" s="219">
        <f t="shared" si="9"/>
        <v>13500</v>
      </c>
    </row>
    <row r="277" spans="1:20" ht="45">
      <c r="A277" s="17" t="s">
        <v>249</v>
      </c>
      <c r="B277" s="73">
        <v>1</v>
      </c>
      <c r="C277" s="67"/>
      <c r="D277" s="212">
        <v>12</v>
      </c>
      <c r="E277" s="218">
        <f t="shared" si="8"/>
        <v>114000</v>
      </c>
      <c r="F277" s="60" t="s">
        <v>166</v>
      </c>
      <c r="G277" s="66"/>
      <c r="H277" s="66"/>
      <c r="I277" s="66"/>
      <c r="J277" s="66"/>
      <c r="K277" s="66"/>
      <c r="L277" s="66"/>
      <c r="M277" s="66"/>
      <c r="N277" s="66"/>
      <c r="O277" s="66"/>
      <c r="P277" s="64">
        <v>9500</v>
      </c>
      <c r="Q277" s="66"/>
      <c r="R277" s="66"/>
      <c r="S277" s="214"/>
      <c r="T277" s="219">
        <f t="shared" si="9"/>
        <v>9500</v>
      </c>
    </row>
    <row r="278" spans="1:20" ht="45">
      <c r="A278" s="17" t="s">
        <v>250</v>
      </c>
      <c r="B278" s="73">
        <v>1</v>
      </c>
      <c r="C278" s="67"/>
      <c r="D278" s="212">
        <v>12</v>
      </c>
      <c r="E278" s="218">
        <f t="shared" si="8"/>
        <v>102000</v>
      </c>
      <c r="F278" s="60" t="s">
        <v>166</v>
      </c>
      <c r="G278" s="66"/>
      <c r="H278" s="66"/>
      <c r="I278" s="66"/>
      <c r="J278" s="66"/>
      <c r="K278" s="66"/>
      <c r="L278" s="66"/>
      <c r="M278" s="66"/>
      <c r="N278" s="66"/>
      <c r="O278" s="66"/>
      <c r="P278" s="64">
        <v>8500</v>
      </c>
      <c r="Q278" s="66"/>
      <c r="R278" s="66"/>
      <c r="S278" s="214"/>
      <c r="T278" s="219">
        <f t="shared" si="9"/>
        <v>8500</v>
      </c>
    </row>
    <row r="279" spans="1:20" ht="45">
      <c r="A279" s="17" t="s">
        <v>250</v>
      </c>
      <c r="B279" s="73">
        <v>1</v>
      </c>
      <c r="C279" s="67"/>
      <c r="D279" s="212">
        <v>12</v>
      </c>
      <c r="E279" s="218">
        <f t="shared" si="8"/>
        <v>102000</v>
      </c>
      <c r="F279" s="60" t="s">
        <v>166</v>
      </c>
      <c r="G279" s="66"/>
      <c r="H279" s="66"/>
      <c r="I279" s="66"/>
      <c r="J279" s="66"/>
      <c r="K279" s="66"/>
      <c r="L279" s="66"/>
      <c r="M279" s="66"/>
      <c r="N279" s="66"/>
      <c r="O279" s="66"/>
      <c r="P279" s="64">
        <v>8500</v>
      </c>
      <c r="Q279" s="66"/>
      <c r="R279" s="66"/>
      <c r="S279" s="214"/>
      <c r="T279" s="219">
        <f t="shared" si="9"/>
        <v>8500</v>
      </c>
    </row>
    <row r="280" spans="1:20" ht="45">
      <c r="A280" s="17" t="s">
        <v>250</v>
      </c>
      <c r="B280" s="73">
        <v>1</v>
      </c>
      <c r="C280" s="67"/>
      <c r="D280" s="212">
        <v>12</v>
      </c>
      <c r="E280" s="218">
        <f t="shared" si="8"/>
        <v>102000</v>
      </c>
      <c r="F280" s="60" t="s">
        <v>166</v>
      </c>
      <c r="G280" s="66"/>
      <c r="H280" s="66"/>
      <c r="I280" s="66"/>
      <c r="J280" s="66"/>
      <c r="K280" s="66"/>
      <c r="L280" s="66"/>
      <c r="M280" s="66"/>
      <c r="N280" s="66"/>
      <c r="O280" s="66"/>
      <c r="P280" s="64">
        <v>8500</v>
      </c>
      <c r="Q280" s="66"/>
      <c r="R280" s="66"/>
      <c r="S280" s="214"/>
      <c r="T280" s="219">
        <f t="shared" si="9"/>
        <v>8500</v>
      </c>
    </row>
    <row r="281" spans="1:20" ht="33.75">
      <c r="A281" s="17" t="s">
        <v>251</v>
      </c>
      <c r="B281" s="73">
        <v>1</v>
      </c>
      <c r="C281" s="67"/>
      <c r="D281" s="212">
        <v>12</v>
      </c>
      <c r="E281" s="218">
        <f t="shared" si="8"/>
        <v>138000</v>
      </c>
      <c r="F281" s="60" t="s">
        <v>166</v>
      </c>
      <c r="G281" s="66"/>
      <c r="H281" s="66"/>
      <c r="I281" s="66"/>
      <c r="J281" s="66"/>
      <c r="K281" s="66"/>
      <c r="L281" s="66"/>
      <c r="M281" s="66"/>
      <c r="N281" s="66"/>
      <c r="O281" s="66"/>
      <c r="P281" s="64">
        <v>11500</v>
      </c>
      <c r="Q281" s="66"/>
      <c r="R281" s="66"/>
      <c r="S281" s="214"/>
      <c r="T281" s="219">
        <f t="shared" si="9"/>
        <v>11500</v>
      </c>
    </row>
    <row r="282" spans="1:20" ht="45">
      <c r="A282" s="17" t="s">
        <v>252</v>
      </c>
      <c r="B282" s="73">
        <v>1</v>
      </c>
      <c r="C282" s="67"/>
      <c r="D282" s="212">
        <v>12</v>
      </c>
      <c r="E282" s="218">
        <f t="shared" si="8"/>
        <v>36000</v>
      </c>
      <c r="F282" s="60" t="s">
        <v>166</v>
      </c>
      <c r="G282" s="66"/>
      <c r="H282" s="66"/>
      <c r="I282" s="66"/>
      <c r="J282" s="66"/>
      <c r="K282" s="66"/>
      <c r="L282" s="66"/>
      <c r="M282" s="66"/>
      <c r="N282" s="66"/>
      <c r="O282" s="66"/>
      <c r="P282" s="64">
        <v>3000</v>
      </c>
      <c r="Q282" s="66"/>
      <c r="R282" s="66"/>
      <c r="S282" s="214"/>
      <c r="T282" s="219">
        <f t="shared" si="9"/>
        <v>3000</v>
      </c>
    </row>
    <row r="283" spans="1:20" ht="45">
      <c r="A283" s="17" t="s">
        <v>253</v>
      </c>
      <c r="B283" s="73">
        <v>1</v>
      </c>
      <c r="C283" s="67"/>
      <c r="D283" s="212">
        <v>12</v>
      </c>
      <c r="E283" s="218">
        <f t="shared" si="8"/>
        <v>60000</v>
      </c>
      <c r="F283" s="60" t="s">
        <v>166</v>
      </c>
      <c r="G283" s="66"/>
      <c r="H283" s="66"/>
      <c r="I283" s="66"/>
      <c r="J283" s="66"/>
      <c r="K283" s="66"/>
      <c r="L283" s="66"/>
      <c r="M283" s="66"/>
      <c r="N283" s="66"/>
      <c r="O283" s="66"/>
      <c r="P283" s="64">
        <v>5000</v>
      </c>
      <c r="Q283" s="66"/>
      <c r="R283" s="66"/>
      <c r="S283" s="214"/>
      <c r="T283" s="219">
        <f t="shared" si="9"/>
        <v>5000</v>
      </c>
    </row>
    <row r="284" spans="1:20" ht="45">
      <c r="A284" s="17" t="s">
        <v>254</v>
      </c>
      <c r="B284" s="73">
        <v>1</v>
      </c>
      <c r="C284" s="67"/>
      <c r="D284" s="212">
        <v>12</v>
      </c>
      <c r="E284" s="218">
        <f t="shared" si="8"/>
        <v>162000</v>
      </c>
      <c r="F284" s="60" t="s">
        <v>166</v>
      </c>
      <c r="G284" s="66"/>
      <c r="H284" s="66"/>
      <c r="I284" s="66"/>
      <c r="J284" s="66"/>
      <c r="K284" s="66"/>
      <c r="L284" s="66"/>
      <c r="M284" s="66"/>
      <c r="N284" s="66"/>
      <c r="O284" s="66"/>
      <c r="P284" s="64">
        <v>13500</v>
      </c>
      <c r="Q284" s="66"/>
      <c r="R284" s="66"/>
      <c r="S284" s="214"/>
      <c r="T284" s="219">
        <f t="shared" si="9"/>
        <v>13500</v>
      </c>
    </row>
    <row r="285" spans="1:20" ht="45">
      <c r="A285" s="17" t="s">
        <v>254</v>
      </c>
      <c r="B285" s="73">
        <v>1</v>
      </c>
      <c r="C285" s="67"/>
      <c r="D285" s="212">
        <v>12</v>
      </c>
      <c r="E285" s="218">
        <f t="shared" si="8"/>
        <v>162000</v>
      </c>
      <c r="F285" s="60" t="s">
        <v>166</v>
      </c>
      <c r="G285" s="66"/>
      <c r="H285" s="66"/>
      <c r="I285" s="66"/>
      <c r="J285" s="66"/>
      <c r="K285" s="66"/>
      <c r="L285" s="66"/>
      <c r="M285" s="66"/>
      <c r="N285" s="66"/>
      <c r="O285" s="66"/>
      <c r="P285" s="64">
        <v>13500</v>
      </c>
      <c r="Q285" s="66"/>
      <c r="R285" s="66"/>
      <c r="S285" s="214"/>
      <c r="T285" s="219">
        <f t="shared" si="9"/>
        <v>13500</v>
      </c>
    </row>
    <row r="286" spans="1:20" ht="33.75">
      <c r="A286" s="17" t="s">
        <v>255</v>
      </c>
      <c r="B286" s="73">
        <v>1</v>
      </c>
      <c r="C286" s="67"/>
      <c r="D286" s="212">
        <v>12</v>
      </c>
      <c r="E286" s="218">
        <f t="shared" si="8"/>
        <v>36000</v>
      </c>
      <c r="F286" s="60" t="s">
        <v>166</v>
      </c>
      <c r="G286" s="66"/>
      <c r="H286" s="66"/>
      <c r="I286" s="66"/>
      <c r="J286" s="66"/>
      <c r="K286" s="66"/>
      <c r="L286" s="66"/>
      <c r="M286" s="66"/>
      <c r="N286" s="66"/>
      <c r="O286" s="66"/>
      <c r="P286" s="64">
        <v>3000</v>
      </c>
      <c r="Q286" s="66"/>
      <c r="R286" s="66"/>
      <c r="S286" s="214"/>
      <c r="T286" s="219">
        <f t="shared" si="9"/>
        <v>3000</v>
      </c>
    </row>
    <row r="287" spans="1:20" ht="33.75">
      <c r="A287" s="17" t="s">
        <v>255</v>
      </c>
      <c r="B287" s="73">
        <v>1</v>
      </c>
      <c r="C287" s="67"/>
      <c r="D287" s="212">
        <v>12</v>
      </c>
      <c r="E287" s="218">
        <f t="shared" si="8"/>
        <v>36000</v>
      </c>
      <c r="F287" s="60" t="s">
        <v>166</v>
      </c>
      <c r="G287" s="66"/>
      <c r="H287" s="66"/>
      <c r="I287" s="66"/>
      <c r="J287" s="66"/>
      <c r="K287" s="66"/>
      <c r="L287" s="66"/>
      <c r="M287" s="66"/>
      <c r="N287" s="66"/>
      <c r="O287" s="66"/>
      <c r="P287" s="64">
        <v>3000</v>
      </c>
      <c r="Q287" s="66"/>
      <c r="R287" s="66"/>
      <c r="S287" s="214"/>
      <c r="T287" s="219">
        <f t="shared" si="9"/>
        <v>3000</v>
      </c>
    </row>
    <row r="288" spans="1:20" ht="33.75">
      <c r="A288" s="17" t="s">
        <v>255</v>
      </c>
      <c r="B288" s="73">
        <v>1</v>
      </c>
      <c r="C288" s="67"/>
      <c r="D288" s="212">
        <v>12</v>
      </c>
      <c r="E288" s="218">
        <f t="shared" si="8"/>
        <v>36000</v>
      </c>
      <c r="F288" s="60" t="s">
        <v>166</v>
      </c>
      <c r="G288" s="66"/>
      <c r="H288" s="66"/>
      <c r="I288" s="66"/>
      <c r="J288" s="66"/>
      <c r="K288" s="66"/>
      <c r="L288" s="66"/>
      <c r="M288" s="66"/>
      <c r="N288" s="66"/>
      <c r="O288" s="66"/>
      <c r="P288" s="64">
        <v>3000</v>
      </c>
      <c r="Q288" s="66"/>
      <c r="R288" s="66"/>
      <c r="S288" s="214"/>
      <c r="T288" s="219">
        <f t="shared" si="9"/>
        <v>3000</v>
      </c>
    </row>
    <row r="289" spans="1:20" ht="33.75">
      <c r="A289" s="17" t="s">
        <v>256</v>
      </c>
      <c r="B289" s="73">
        <v>1</v>
      </c>
      <c r="C289" s="67"/>
      <c r="D289" s="212">
        <v>12</v>
      </c>
      <c r="E289" s="218">
        <f t="shared" si="8"/>
        <v>36000</v>
      </c>
      <c r="F289" s="60" t="s">
        <v>166</v>
      </c>
      <c r="G289" s="66"/>
      <c r="H289" s="66"/>
      <c r="I289" s="66"/>
      <c r="J289" s="66"/>
      <c r="K289" s="66"/>
      <c r="L289" s="66"/>
      <c r="M289" s="66"/>
      <c r="N289" s="66"/>
      <c r="O289" s="66"/>
      <c r="P289" s="64">
        <v>3000</v>
      </c>
      <c r="Q289" s="66"/>
      <c r="R289" s="66"/>
      <c r="S289" s="214"/>
      <c r="T289" s="219">
        <f t="shared" si="9"/>
        <v>3000</v>
      </c>
    </row>
    <row r="290" spans="1:20" ht="33.75">
      <c r="A290" s="17" t="s">
        <v>257</v>
      </c>
      <c r="B290" s="73">
        <v>1</v>
      </c>
      <c r="C290" s="67"/>
      <c r="D290" s="212">
        <v>12</v>
      </c>
      <c r="E290" s="218">
        <f t="shared" si="8"/>
        <v>36000</v>
      </c>
      <c r="F290" s="60" t="s">
        <v>166</v>
      </c>
      <c r="G290" s="66"/>
      <c r="H290" s="66"/>
      <c r="I290" s="66"/>
      <c r="J290" s="66"/>
      <c r="K290" s="66"/>
      <c r="L290" s="66"/>
      <c r="M290" s="66"/>
      <c r="N290" s="66"/>
      <c r="O290" s="66"/>
      <c r="P290" s="64">
        <v>3000</v>
      </c>
      <c r="Q290" s="66"/>
      <c r="R290" s="66"/>
      <c r="S290" s="214"/>
      <c r="T290" s="219">
        <f t="shared" si="9"/>
        <v>3000</v>
      </c>
    </row>
    <row r="291" spans="1:20" ht="22.5">
      <c r="A291" s="17" t="s">
        <v>258</v>
      </c>
      <c r="B291" s="73">
        <v>1</v>
      </c>
      <c r="C291" s="67"/>
      <c r="D291" s="212">
        <v>12</v>
      </c>
      <c r="E291" s="218">
        <f t="shared" si="8"/>
        <v>168000</v>
      </c>
      <c r="F291" s="60" t="s">
        <v>166</v>
      </c>
      <c r="G291" s="66"/>
      <c r="H291" s="66"/>
      <c r="I291" s="66"/>
      <c r="J291" s="66"/>
      <c r="K291" s="66"/>
      <c r="L291" s="66"/>
      <c r="M291" s="66"/>
      <c r="N291" s="66"/>
      <c r="O291" s="66"/>
      <c r="P291" s="64">
        <v>14000</v>
      </c>
      <c r="Q291" s="66"/>
      <c r="R291" s="66"/>
      <c r="S291" s="214"/>
      <c r="T291" s="219">
        <f t="shared" si="9"/>
        <v>14000</v>
      </c>
    </row>
    <row r="292" spans="1:20" ht="33.75">
      <c r="A292" s="17" t="s">
        <v>259</v>
      </c>
      <c r="B292" s="73">
        <v>1</v>
      </c>
      <c r="C292" s="67"/>
      <c r="D292" s="212">
        <v>12</v>
      </c>
      <c r="E292" s="218">
        <f t="shared" si="8"/>
        <v>36000</v>
      </c>
      <c r="F292" s="60" t="s">
        <v>166</v>
      </c>
      <c r="G292" s="66"/>
      <c r="H292" s="66"/>
      <c r="I292" s="66"/>
      <c r="J292" s="66"/>
      <c r="K292" s="66"/>
      <c r="L292" s="66"/>
      <c r="M292" s="66"/>
      <c r="N292" s="66"/>
      <c r="O292" s="66"/>
      <c r="P292" s="64">
        <v>3000</v>
      </c>
      <c r="Q292" s="66"/>
      <c r="R292" s="66"/>
      <c r="S292" s="214"/>
      <c r="T292" s="219">
        <f t="shared" si="9"/>
        <v>3000</v>
      </c>
    </row>
    <row r="293" spans="1:20" ht="22.5">
      <c r="A293" s="17" t="s">
        <v>260</v>
      </c>
      <c r="B293" s="73">
        <v>1</v>
      </c>
      <c r="C293" s="67"/>
      <c r="D293" s="212">
        <v>12</v>
      </c>
      <c r="E293" s="218">
        <f t="shared" si="8"/>
        <v>36000</v>
      </c>
      <c r="F293" s="60" t="s">
        <v>166</v>
      </c>
      <c r="G293" s="66"/>
      <c r="H293" s="66"/>
      <c r="I293" s="66"/>
      <c r="J293" s="66"/>
      <c r="K293" s="66"/>
      <c r="L293" s="66"/>
      <c r="M293" s="66"/>
      <c r="N293" s="66"/>
      <c r="O293" s="66"/>
      <c r="P293" s="64">
        <v>3000</v>
      </c>
      <c r="Q293" s="66"/>
      <c r="R293" s="66"/>
      <c r="S293" s="214"/>
      <c r="T293" s="219">
        <f t="shared" si="9"/>
        <v>3000</v>
      </c>
    </row>
    <row r="294" spans="1:20" ht="33.75">
      <c r="A294" s="17" t="s">
        <v>261</v>
      </c>
      <c r="B294" s="73">
        <v>1</v>
      </c>
      <c r="C294" s="67"/>
      <c r="D294" s="212">
        <v>12</v>
      </c>
      <c r="E294" s="218">
        <f t="shared" si="8"/>
        <v>198000</v>
      </c>
      <c r="F294" s="60" t="s">
        <v>166</v>
      </c>
      <c r="G294" s="66"/>
      <c r="H294" s="66"/>
      <c r="I294" s="66"/>
      <c r="J294" s="66"/>
      <c r="K294" s="66"/>
      <c r="L294" s="66"/>
      <c r="M294" s="66"/>
      <c r="N294" s="66"/>
      <c r="O294" s="66"/>
      <c r="P294" s="64">
        <v>16500</v>
      </c>
      <c r="Q294" s="66"/>
      <c r="R294" s="66"/>
      <c r="S294" s="214"/>
      <c r="T294" s="219">
        <f t="shared" si="9"/>
        <v>16500</v>
      </c>
    </row>
    <row r="295" spans="1:20" ht="33.75">
      <c r="A295" s="17" t="s">
        <v>261</v>
      </c>
      <c r="B295" s="73">
        <v>1</v>
      </c>
      <c r="C295" s="67"/>
      <c r="D295" s="212">
        <v>12</v>
      </c>
      <c r="E295" s="218">
        <f t="shared" si="8"/>
        <v>198000</v>
      </c>
      <c r="F295" s="60" t="s">
        <v>166</v>
      </c>
      <c r="G295" s="66"/>
      <c r="H295" s="66"/>
      <c r="I295" s="66"/>
      <c r="J295" s="66"/>
      <c r="K295" s="66"/>
      <c r="L295" s="66"/>
      <c r="M295" s="66"/>
      <c r="N295" s="66"/>
      <c r="O295" s="66"/>
      <c r="P295" s="64">
        <v>16500</v>
      </c>
      <c r="Q295" s="66"/>
      <c r="R295" s="66"/>
      <c r="S295" s="214"/>
      <c r="T295" s="219">
        <f t="shared" si="9"/>
        <v>16500</v>
      </c>
    </row>
    <row r="296" spans="1:20" ht="33.75">
      <c r="A296" s="17" t="s">
        <v>261</v>
      </c>
      <c r="B296" s="73">
        <v>1</v>
      </c>
      <c r="C296" s="67"/>
      <c r="D296" s="212">
        <v>12</v>
      </c>
      <c r="E296" s="218">
        <f t="shared" si="8"/>
        <v>198000</v>
      </c>
      <c r="F296" s="60" t="s">
        <v>166</v>
      </c>
      <c r="G296" s="66"/>
      <c r="H296" s="66"/>
      <c r="I296" s="66"/>
      <c r="J296" s="66"/>
      <c r="K296" s="66"/>
      <c r="L296" s="66"/>
      <c r="M296" s="66"/>
      <c r="N296" s="66"/>
      <c r="O296" s="66"/>
      <c r="P296" s="64">
        <v>16500</v>
      </c>
      <c r="Q296" s="66"/>
      <c r="R296" s="66"/>
      <c r="S296" s="214"/>
      <c r="T296" s="219">
        <f t="shared" si="9"/>
        <v>16500</v>
      </c>
    </row>
    <row r="297" spans="1:20" ht="33.75">
      <c r="A297" s="17" t="s">
        <v>261</v>
      </c>
      <c r="B297" s="73">
        <v>1</v>
      </c>
      <c r="C297" s="67"/>
      <c r="D297" s="212">
        <v>12</v>
      </c>
      <c r="E297" s="218">
        <f t="shared" si="8"/>
        <v>198000</v>
      </c>
      <c r="F297" s="60" t="s">
        <v>166</v>
      </c>
      <c r="G297" s="66"/>
      <c r="H297" s="66"/>
      <c r="I297" s="66"/>
      <c r="J297" s="66"/>
      <c r="K297" s="66"/>
      <c r="L297" s="66"/>
      <c r="M297" s="66"/>
      <c r="N297" s="66"/>
      <c r="O297" s="66"/>
      <c r="P297" s="64">
        <v>16500</v>
      </c>
      <c r="Q297" s="66"/>
      <c r="R297" s="66"/>
      <c r="S297" s="214"/>
      <c r="T297" s="219">
        <f t="shared" si="9"/>
        <v>16500</v>
      </c>
    </row>
    <row r="298" spans="1:20" ht="33.75">
      <c r="A298" s="17" t="s">
        <v>262</v>
      </c>
      <c r="B298" s="73">
        <v>1</v>
      </c>
      <c r="C298" s="67"/>
      <c r="D298" s="212">
        <v>12</v>
      </c>
      <c r="E298" s="218">
        <f t="shared" si="8"/>
        <v>138000</v>
      </c>
      <c r="F298" s="60" t="s">
        <v>166</v>
      </c>
      <c r="G298" s="66"/>
      <c r="H298" s="66"/>
      <c r="I298" s="66"/>
      <c r="J298" s="66"/>
      <c r="K298" s="66"/>
      <c r="L298" s="66"/>
      <c r="M298" s="66"/>
      <c r="N298" s="66"/>
      <c r="O298" s="66"/>
      <c r="P298" s="64">
        <v>11500</v>
      </c>
      <c r="Q298" s="66"/>
      <c r="R298" s="66"/>
      <c r="S298" s="214"/>
      <c r="T298" s="219">
        <f t="shared" si="9"/>
        <v>11500</v>
      </c>
    </row>
    <row r="299" spans="1:20" ht="45">
      <c r="A299" s="17" t="s">
        <v>263</v>
      </c>
      <c r="B299" s="73">
        <v>1</v>
      </c>
      <c r="C299" s="67"/>
      <c r="D299" s="212">
        <v>12</v>
      </c>
      <c r="E299" s="218">
        <f t="shared" si="8"/>
        <v>162000</v>
      </c>
      <c r="F299" s="60" t="s">
        <v>166</v>
      </c>
      <c r="G299" s="66"/>
      <c r="H299" s="66"/>
      <c r="I299" s="66"/>
      <c r="J299" s="66"/>
      <c r="K299" s="66"/>
      <c r="L299" s="66"/>
      <c r="M299" s="66"/>
      <c r="N299" s="66"/>
      <c r="O299" s="66"/>
      <c r="P299" s="64">
        <v>13500</v>
      </c>
      <c r="Q299" s="66"/>
      <c r="R299" s="66"/>
      <c r="S299" s="214"/>
      <c r="T299" s="219">
        <f t="shared" si="9"/>
        <v>13500</v>
      </c>
    </row>
    <row r="300" spans="1:20" ht="45">
      <c r="A300" s="17" t="s">
        <v>263</v>
      </c>
      <c r="B300" s="73">
        <v>1</v>
      </c>
      <c r="C300" s="67"/>
      <c r="D300" s="212">
        <v>12</v>
      </c>
      <c r="E300" s="218">
        <f t="shared" si="8"/>
        <v>162000</v>
      </c>
      <c r="F300" s="60" t="s">
        <v>166</v>
      </c>
      <c r="G300" s="66"/>
      <c r="H300" s="66"/>
      <c r="I300" s="66"/>
      <c r="J300" s="66"/>
      <c r="K300" s="66"/>
      <c r="L300" s="66"/>
      <c r="M300" s="66"/>
      <c r="N300" s="66"/>
      <c r="O300" s="66"/>
      <c r="P300" s="64">
        <v>13500</v>
      </c>
      <c r="Q300" s="66"/>
      <c r="R300" s="66"/>
      <c r="S300" s="214"/>
      <c r="T300" s="219">
        <f t="shared" si="9"/>
        <v>13500</v>
      </c>
    </row>
    <row r="301" spans="1:20" ht="33.75">
      <c r="A301" s="17" t="s">
        <v>264</v>
      </c>
      <c r="B301" s="73">
        <v>1</v>
      </c>
      <c r="C301" s="67"/>
      <c r="D301" s="212">
        <v>12</v>
      </c>
      <c r="E301" s="218">
        <f t="shared" si="8"/>
        <v>36000</v>
      </c>
      <c r="F301" s="60" t="s">
        <v>166</v>
      </c>
      <c r="G301" s="66"/>
      <c r="H301" s="66"/>
      <c r="I301" s="66"/>
      <c r="J301" s="66"/>
      <c r="K301" s="66"/>
      <c r="L301" s="66"/>
      <c r="M301" s="66"/>
      <c r="N301" s="66"/>
      <c r="O301" s="66"/>
      <c r="P301" s="64">
        <v>3000</v>
      </c>
      <c r="Q301" s="66"/>
      <c r="R301" s="66"/>
      <c r="S301" s="214"/>
      <c r="T301" s="219">
        <f t="shared" si="9"/>
        <v>3000</v>
      </c>
    </row>
    <row r="302" spans="1:20" ht="33.75">
      <c r="A302" s="17" t="s">
        <v>265</v>
      </c>
      <c r="B302" s="73">
        <v>1</v>
      </c>
      <c r="C302" s="67"/>
      <c r="D302" s="212">
        <v>12</v>
      </c>
      <c r="E302" s="218">
        <f t="shared" si="8"/>
        <v>36000</v>
      </c>
      <c r="F302" s="60" t="s">
        <v>166</v>
      </c>
      <c r="G302" s="66"/>
      <c r="H302" s="66"/>
      <c r="I302" s="66"/>
      <c r="J302" s="66"/>
      <c r="K302" s="66"/>
      <c r="L302" s="66"/>
      <c r="M302" s="66"/>
      <c r="N302" s="66"/>
      <c r="O302" s="66"/>
      <c r="P302" s="64">
        <v>3000</v>
      </c>
      <c r="Q302" s="66"/>
      <c r="R302" s="66"/>
      <c r="S302" s="214"/>
      <c r="T302" s="219">
        <f t="shared" si="9"/>
        <v>3000</v>
      </c>
    </row>
    <row r="303" spans="1:20" ht="22.5">
      <c r="A303" s="17" t="s">
        <v>216</v>
      </c>
      <c r="B303" s="73">
        <v>1</v>
      </c>
      <c r="C303" s="67"/>
      <c r="D303" s="212">
        <v>12</v>
      </c>
      <c r="E303" s="218">
        <f t="shared" si="8"/>
        <v>42000</v>
      </c>
      <c r="F303" s="60" t="s">
        <v>166</v>
      </c>
      <c r="G303" s="66"/>
      <c r="H303" s="66"/>
      <c r="I303" s="66"/>
      <c r="J303" s="66"/>
      <c r="K303" s="66"/>
      <c r="L303" s="66"/>
      <c r="M303" s="66"/>
      <c r="N303" s="66"/>
      <c r="O303" s="66"/>
      <c r="P303" s="64">
        <v>3500</v>
      </c>
      <c r="Q303" s="66"/>
      <c r="R303" s="66"/>
      <c r="S303" s="214"/>
      <c r="T303" s="219">
        <f t="shared" si="9"/>
        <v>3500</v>
      </c>
    </row>
    <row r="304" spans="1:20" ht="33.75">
      <c r="A304" s="17" t="s">
        <v>266</v>
      </c>
      <c r="B304" s="73">
        <v>1</v>
      </c>
      <c r="C304" s="67"/>
      <c r="D304" s="212">
        <v>12</v>
      </c>
      <c r="E304" s="218">
        <f t="shared" si="8"/>
        <v>60000</v>
      </c>
      <c r="F304" s="60" t="s">
        <v>166</v>
      </c>
      <c r="G304" s="66"/>
      <c r="H304" s="66"/>
      <c r="I304" s="66"/>
      <c r="J304" s="66"/>
      <c r="K304" s="66"/>
      <c r="L304" s="66"/>
      <c r="M304" s="66"/>
      <c r="N304" s="66"/>
      <c r="O304" s="66"/>
      <c r="P304" s="64">
        <v>5000</v>
      </c>
      <c r="Q304" s="66"/>
      <c r="R304" s="66"/>
      <c r="S304" s="214"/>
      <c r="T304" s="219">
        <f t="shared" si="9"/>
        <v>5000</v>
      </c>
    </row>
    <row r="305" spans="1:20" ht="33.75">
      <c r="A305" s="17" t="s">
        <v>267</v>
      </c>
      <c r="B305" s="73">
        <v>1</v>
      </c>
      <c r="C305" s="67"/>
      <c r="D305" s="212">
        <v>12</v>
      </c>
      <c r="E305" s="218">
        <f t="shared" si="8"/>
        <v>54000</v>
      </c>
      <c r="F305" s="60" t="s">
        <v>166</v>
      </c>
      <c r="G305" s="66"/>
      <c r="H305" s="66"/>
      <c r="I305" s="66"/>
      <c r="J305" s="66"/>
      <c r="K305" s="66"/>
      <c r="L305" s="66"/>
      <c r="M305" s="66"/>
      <c r="N305" s="66"/>
      <c r="O305" s="66"/>
      <c r="P305" s="64">
        <v>4500</v>
      </c>
      <c r="Q305" s="66"/>
      <c r="R305" s="66"/>
      <c r="S305" s="214"/>
      <c r="T305" s="219">
        <f t="shared" si="9"/>
        <v>4500</v>
      </c>
    </row>
    <row r="306" spans="1:20" ht="22.5">
      <c r="A306" s="17" t="s">
        <v>216</v>
      </c>
      <c r="B306" s="73">
        <v>1</v>
      </c>
      <c r="C306" s="67"/>
      <c r="D306" s="212">
        <v>12</v>
      </c>
      <c r="E306" s="218">
        <f t="shared" si="8"/>
        <v>42000</v>
      </c>
      <c r="F306" s="60" t="s">
        <v>166</v>
      </c>
      <c r="G306" s="66"/>
      <c r="H306" s="66"/>
      <c r="I306" s="66"/>
      <c r="J306" s="66"/>
      <c r="K306" s="66"/>
      <c r="L306" s="66"/>
      <c r="M306" s="66"/>
      <c r="N306" s="66"/>
      <c r="O306" s="66"/>
      <c r="P306" s="64">
        <v>3500</v>
      </c>
      <c r="Q306" s="66"/>
      <c r="R306" s="66"/>
      <c r="S306" s="214"/>
      <c r="T306" s="219">
        <f t="shared" si="9"/>
        <v>3500</v>
      </c>
    </row>
    <row r="307" spans="1:20" ht="22.5">
      <c r="A307" s="17" t="s">
        <v>268</v>
      </c>
      <c r="B307" s="73">
        <v>1</v>
      </c>
      <c r="C307" s="67"/>
      <c r="D307" s="212">
        <v>12</v>
      </c>
      <c r="E307" s="218">
        <f t="shared" si="8"/>
        <v>192000</v>
      </c>
      <c r="F307" s="60" t="s">
        <v>166</v>
      </c>
      <c r="G307" s="66"/>
      <c r="H307" s="66"/>
      <c r="I307" s="66"/>
      <c r="J307" s="66"/>
      <c r="K307" s="66"/>
      <c r="L307" s="66"/>
      <c r="M307" s="66"/>
      <c r="N307" s="66"/>
      <c r="O307" s="66"/>
      <c r="P307" s="64">
        <v>16000</v>
      </c>
      <c r="Q307" s="66"/>
      <c r="R307" s="66"/>
      <c r="S307" s="214"/>
      <c r="T307" s="219">
        <f t="shared" si="9"/>
        <v>16000</v>
      </c>
    </row>
    <row r="308" spans="1:20" ht="33.75">
      <c r="A308" s="17" t="s">
        <v>269</v>
      </c>
      <c r="B308" s="73">
        <v>1</v>
      </c>
      <c r="C308" s="67"/>
      <c r="D308" s="212">
        <v>12</v>
      </c>
      <c r="E308" s="218">
        <f t="shared" si="8"/>
        <v>162000</v>
      </c>
      <c r="F308" s="60" t="s">
        <v>166</v>
      </c>
      <c r="G308" s="66"/>
      <c r="H308" s="66"/>
      <c r="I308" s="66"/>
      <c r="J308" s="66"/>
      <c r="K308" s="66"/>
      <c r="L308" s="66"/>
      <c r="M308" s="66"/>
      <c r="N308" s="66"/>
      <c r="O308" s="66"/>
      <c r="P308" s="64">
        <v>13500</v>
      </c>
      <c r="Q308" s="66"/>
      <c r="R308" s="66"/>
      <c r="S308" s="214"/>
      <c r="T308" s="219">
        <f t="shared" si="9"/>
        <v>13500</v>
      </c>
    </row>
    <row r="309" spans="1:20" ht="22.5">
      <c r="A309" s="17" t="s">
        <v>202</v>
      </c>
      <c r="B309" s="73">
        <v>1</v>
      </c>
      <c r="C309" s="67"/>
      <c r="D309" s="212">
        <v>12</v>
      </c>
      <c r="E309" s="218">
        <f t="shared" si="8"/>
        <v>54000</v>
      </c>
      <c r="F309" s="60" t="s">
        <v>166</v>
      </c>
      <c r="G309" s="66"/>
      <c r="H309" s="66"/>
      <c r="I309" s="66"/>
      <c r="J309" s="66"/>
      <c r="K309" s="66"/>
      <c r="L309" s="66"/>
      <c r="M309" s="66"/>
      <c r="N309" s="66"/>
      <c r="O309" s="66"/>
      <c r="P309" s="64">
        <v>4500</v>
      </c>
      <c r="Q309" s="66"/>
      <c r="R309" s="66"/>
      <c r="S309" s="214"/>
      <c r="T309" s="219">
        <f t="shared" si="9"/>
        <v>4500</v>
      </c>
    </row>
    <row r="310" spans="1:20" ht="22.5">
      <c r="A310" s="17" t="s">
        <v>202</v>
      </c>
      <c r="B310" s="73">
        <v>1</v>
      </c>
      <c r="C310" s="67"/>
      <c r="D310" s="212">
        <v>12</v>
      </c>
      <c r="E310" s="218">
        <f t="shared" si="8"/>
        <v>42000</v>
      </c>
      <c r="F310" s="60" t="s">
        <v>166</v>
      </c>
      <c r="G310" s="66"/>
      <c r="H310" s="66"/>
      <c r="I310" s="66"/>
      <c r="J310" s="66"/>
      <c r="K310" s="66"/>
      <c r="L310" s="66"/>
      <c r="M310" s="66"/>
      <c r="N310" s="66"/>
      <c r="O310" s="66"/>
      <c r="P310" s="64">
        <v>3500</v>
      </c>
      <c r="Q310" s="66"/>
      <c r="R310" s="66"/>
      <c r="S310" s="214"/>
      <c r="T310" s="219">
        <f t="shared" si="9"/>
        <v>3500</v>
      </c>
    </row>
    <row r="311" spans="1:20" ht="33.75">
      <c r="A311" s="17" t="s">
        <v>203</v>
      </c>
      <c r="B311" s="73">
        <v>1</v>
      </c>
      <c r="C311" s="67"/>
      <c r="D311" s="212">
        <v>12</v>
      </c>
      <c r="E311" s="218">
        <f t="shared" si="8"/>
        <v>108000</v>
      </c>
      <c r="F311" s="60" t="s">
        <v>166</v>
      </c>
      <c r="G311" s="66"/>
      <c r="H311" s="66"/>
      <c r="I311" s="66"/>
      <c r="J311" s="66"/>
      <c r="K311" s="66"/>
      <c r="L311" s="66"/>
      <c r="M311" s="66"/>
      <c r="N311" s="66"/>
      <c r="O311" s="66"/>
      <c r="P311" s="64">
        <v>9000</v>
      </c>
      <c r="Q311" s="66"/>
      <c r="R311" s="66"/>
      <c r="S311" s="214"/>
      <c r="T311" s="219">
        <f t="shared" si="9"/>
        <v>9000</v>
      </c>
    </row>
    <row r="312" spans="1:20" ht="33.75">
      <c r="A312" s="17" t="s">
        <v>270</v>
      </c>
      <c r="B312" s="73">
        <v>1</v>
      </c>
      <c r="C312" s="67"/>
      <c r="D312" s="212">
        <v>12</v>
      </c>
      <c r="E312" s="218">
        <f t="shared" si="8"/>
        <v>96000</v>
      </c>
      <c r="F312" s="60" t="s">
        <v>166</v>
      </c>
      <c r="G312" s="66"/>
      <c r="H312" s="66"/>
      <c r="I312" s="66"/>
      <c r="J312" s="66"/>
      <c r="K312" s="66"/>
      <c r="L312" s="66"/>
      <c r="M312" s="66"/>
      <c r="N312" s="66"/>
      <c r="O312" s="66"/>
      <c r="P312" s="64">
        <v>8000</v>
      </c>
      <c r="Q312" s="66"/>
      <c r="R312" s="66"/>
      <c r="S312" s="214"/>
      <c r="T312" s="219">
        <f t="shared" si="9"/>
        <v>8000</v>
      </c>
    </row>
    <row r="313" spans="1:20" ht="33.75">
      <c r="A313" s="17" t="s">
        <v>271</v>
      </c>
      <c r="B313" s="73">
        <v>1</v>
      </c>
      <c r="C313" s="67"/>
      <c r="D313" s="212">
        <v>12</v>
      </c>
      <c r="E313" s="218">
        <f t="shared" si="8"/>
        <v>60000</v>
      </c>
      <c r="F313" s="60" t="s">
        <v>166</v>
      </c>
      <c r="G313" s="66"/>
      <c r="H313" s="66"/>
      <c r="I313" s="66"/>
      <c r="J313" s="66"/>
      <c r="K313" s="66"/>
      <c r="L313" s="66"/>
      <c r="M313" s="66"/>
      <c r="N313" s="66"/>
      <c r="O313" s="66"/>
      <c r="P313" s="64">
        <v>5000</v>
      </c>
      <c r="Q313" s="66"/>
      <c r="R313" s="66"/>
      <c r="S313" s="214"/>
      <c r="T313" s="219">
        <f t="shared" si="9"/>
        <v>5000</v>
      </c>
    </row>
    <row r="314" spans="1:20" ht="33.75">
      <c r="A314" s="17" t="s">
        <v>270</v>
      </c>
      <c r="B314" s="73">
        <v>1</v>
      </c>
      <c r="C314" s="67"/>
      <c r="D314" s="212">
        <v>12</v>
      </c>
      <c r="E314" s="218">
        <f t="shared" si="8"/>
        <v>72000</v>
      </c>
      <c r="F314" s="60" t="s">
        <v>166</v>
      </c>
      <c r="G314" s="66"/>
      <c r="H314" s="66"/>
      <c r="I314" s="66"/>
      <c r="J314" s="66"/>
      <c r="K314" s="66"/>
      <c r="L314" s="66"/>
      <c r="M314" s="66"/>
      <c r="N314" s="66"/>
      <c r="O314" s="66"/>
      <c r="P314" s="64">
        <v>6000</v>
      </c>
      <c r="Q314" s="66"/>
      <c r="R314" s="66"/>
      <c r="S314" s="214"/>
      <c r="T314" s="219">
        <f t="shared" si="9"/>
        <v>6000</v>
      </c>
    </row>
    <row r="315" spans="1:20" ht="33.75">
      <c r="A315" s="17" t="s">
        <v>266</v>
      </c>
      <c r="B315" s="73">
        <v>1</v>
      </c>
      <c r="C315" s="67"/>
      <c r="D315" s="212">
        <v>12</v>
      </c>
      <c r="E315" s="218">
        <f t="shared" si="8"/>
        <v>120000</v>
      </c>
      <c r="F315" s="60" t="s">
        <v>166</v>
      </c>
      <c r="G315" s="66"/>
      <c r="H315" s="66"/>
      <c r="I315" s="66"/>
      <c r="J315" s="66"/>
      <c r="K315" s="66"/>
      <c r="L315" s="66"/>
      <c r="M315" s="66"/>
      <c r="N315" s="66"/>
      <c r="O315" s="66"/>
      <c r="P315" s="64">
        <v>10000</v>
      </c>
      <c r="Q315" s="66"/>
      <c r="R315" s="66"/>
      <c r="S315" s="214"/>
      <c r="T315" s="219">
        <f t="shared" si="9"/>
        <v>10000</v>
      </c>
    </row>
    <row r="316" spans="1:20" ht="22.5">
      <c r="A316" s="17" t="s">
        <v>272</v>
      </c>
      <c r="B316" s="73">
        <v>1</v>
      </c>
      <c r="C316" s="67"/>
      <c r="D316" s="212">
        <v>12</v>
      </c>
      <c r="E316" s="218">
        <f t="shared" si="8"/>
        <v>120000</v>
      </c>
      <c r="F316" s="60" t="s">
        <v>166</v>
      </c>
      <c r="G316" s="66"/>
      <c r="H316" s="66"/>
      <c r="I316" s="66"/>
      <c r="J316" s="66"/>
      <c r="K316" s="66"/>
      <c r="L316" s="66"/>
      <c r="M316" s="66"/>
      <c r="N316" s="66"/>
      <c r="O316" s="66"/>
      <c r="P316" s="64">
        <v>10000</v>
      </c>
      <c r="Q316" s="66"/>
      <c r="R316" s="66"/>
      <c r="S316" s="214"/>
      <c r="T316" s="219">
        <f t="shared" si="9"/>
        <v>10000</v>
      </c>
    </row>
    <row r="317" spans="1:20" ht="33.75">
      <c r="A317" s="17" t="s">
        <v>273</v>
      </c>
      <c r="B317" s="73">
        <v>1</v>
      </c>
      <c r="C317" s="67"/>
      <c r="D317" s="212">
        <v>12</v>
      </c>
      <c r="E317" s="218">
        <f t="shared" si="8"/>
        <v>60000</v>
      </c>
      <c r="F317" s="60" t="s">
        <v>166</v>
      </c>
      <c r="G317" s="66"/>
      <c r="H317" s="66"/>
      <c r="I317" s="66"/>
      <c r="J317" s="66"/>
      <c r="K317" s="66"/>
      <c r="L317" s="66"/>
      <c r="M317" s="66"/>
      <c r="N317" s="66"/>
      <c r="O317" s="66"/>
      <c r="P317" s="64">
        <v>5000</v>
      </c>
      <c r="Q317" s="66"/>
      <c r="R317" s="66"/>
      <c r="S317" s="214"/>
      <c r="T317" s="219">
        <f t="shared" si="9"/>
        <v>5000</v>
      </c>
    </row>
    <row r="318" spans="1:20" ht="33.75">
      <c r="A318" s="17" t="s">
        <v>274</v>
      </c>
      <c r="B318" s="73">
        <v>1</v>
      </c>
      <c r="C318" s="67"/>
      <c r="D318" s="212">
        <v>12</v>
      </c>
      <c r="E318" s="218">
        <f t="shared" si="8"/>
        <v>66000</v>
      </c>
      <c r="F318" s="60" t="s">
        <v>166</v>
      </c>
      <c r="G318" s="66"/>
      <c r="H318" s="66"/>
      <c r="I318" s="66"/>
      <c r="J318" s="66"/>
      <c r="K318" s="66"/>
      <c r="L318" s="66"/>
      <c r="M318" s="66"/>
      <c r="N318" s="66"/>
      <c r="O318" s="66"/>
      <c r="P318" s="64">
        <v>5500</v>
      </c>
      <c r="Q318" s="66"/>
      <c r="R318" s="66"/>
      <c r="S318" s="214"/>
      <c r="T318" s="219">
        <f t="shared" si="9"/>
        <v>5500</v>
      </c>
    </row>
    <row r="319" spans="1:20" ht="33.75">
      <c r="A319" s="17" t="s">
        <v>274</v>
      </c>
      <c r="B319" s="73">
        <v>1</v>
      </c>
      <c r="C319" s="67"/>
      <c r="D319" s="212">
        <v>12</v>
      </c>
      <c r="E319" s="218">
        <f t="shared" si="8"/>
        <v>66000</v>
      </c>
      <c r="F319" s="60" t="s">
        <v>166</v>
      </c>
      <c r="G319" s="66"/>
      <c r="H319" s="66"/>
      <c r="I319" s="66"/>
      <c r="J319" s="66"/>
      <c r="K319" s="66"/>
      <c r="L319" s="66"/>
      <c r="M319" s="66"/>
      <c r="N319" s="66"/>
      <c r="O319" s="66"/>
      <c r="P319" s="64">
        <v>5500</v>
      </c>
      <c r="Q319" s="66"/>
      <c r="R319" s="66"/>
      <c r="S319" s="214"/>
      <c r="T319" s="219">
        <f t="shared" si="9"/>
        <v>5500</v>
      </c>
    </row>
    <row r="320" spans="1:20" ht="33.75">
      <c r="A320" s="17" t="s">
        <v>275</v>
      </c>
      <c r="B320" s="73">
        <v>1</v>
      </c>
      <c r="C320" s="67"/>
      <c r="D320" s="212">
        <v>12</v>
      </c>
      <c r="E320" s="218">
        <f t="shared" si="8"/>
        <v>60000</v>
      </c>
      <c r="F320" s="60" t="s">
        <v>166</v>
      </c>
      <c r="G320" s="66"/>
      <c r="H320" s="66"/>
      <c r="I320" s="66"/>
      <c r="J320" s="66"/>
      <c r="K320" s="66"/>
      <c r="L320" s="66"/>
      <c r="M320" s="66"/>
      <c r="N320" s="66"/>
      <c r="O320" s="66"/>
      <c r="P320" s="64">
        <v>5000</v>
      </c>
      <c r="Q320" s="66"/>
      <c r="R320" s="66"/>
      <c r="S320" s="214"/>
      <c r="T320" s="219">
        <f t="shared" si="9"/>
        <v>5000</v>
      </c>
    </row>
    <row r="321" spans="1:20" ht="33.75">
      <c r="A321" s="17" t="s">
        <v>275</v>
      </c>
      <c r="B321" s="73">
        <v>1</v>
      </c>
      <c r="C321" s="67"/>
      <c r="D321" s="212">
        <v>12</v>
      </c>
      <c r="E321" s="218">
        <f t="shared" si="8"/>
        <v>60000</v>
      </c>
      <c r="F321" s="60" t="s">
        <v>166</v>
      </c>
      <c r="G321" s="66"/>
      <c r="H321" s="66"/>
      <c r="I321" s="66"/>
      <c r="J321" s="66"/>
      <c r="K321" s="66"/>
      <c r="L321" s="66"/>
      <c r="M321" s="66"/>
      <c r="N321" s="66"/>
      <c r="O321" s="66"/>
      <c r="P321" s="64">
        <v>5000</v>
      </c>
      <c r="Q321" s="66"/>
      <c r="R321" s="66"/>
      <c r="S321" s="214"/>
      <c r="T321" s="219">
        <f t="shared" si="9"/>
        <v>5000</v>
      </c>
    </row>
    <row r="322" spans="1:20" ht="33.75">
      <c r="A322" s="17" t="s">
        <v>275</v>
      </c>
      <c r="B322" s="73">
        <v>1</v>
      </c>
      <c r="C322" s="67"/>
      <c r="D322" s="212">
        <v>12</v>
      </c>
      <c r="E322" s="218">
        <f t="shared" si="8"/>
        <v>60000</v>
      </c>
      <c r="F322" s="60" t="s">
        <v>166</v>
      </c>
      <c r="G322" s="66"/>
      <c r="H322" s="66"/>
      <c r="I322" s="66"/>
      <c r="J322" s="66"/>
      <c r="K322" s="66"/>
      <c r="L322" s="66"/>
      <c r="M322" s="66"/>
      <c r="N322" s="66"/>
      <c r="O322" s="66"/>
      <c r="P322" s="64">
        <v>5000</v>
      </c>
      <c r="Q322" s="66"/>
      <c r="R322" s="66"/>
      <c r="S322" s="214"/>
      <c r="T322" s="219">
        <f t="shared" si="9"/>
        <v>5000</v>
      </c>
    </row>
    <row r="323" spans="1:20" ht="33.75">
      <c r="A323" s="17" t="s">
        <v>276</v>
      </c>
      <c r="B323" s="73">
        <v>1</v>
      </c>
      <c r="C323" s="67"/>
      <c r="D323" s="212">
        <v>12</v>
      </c>
      <c r="E323" s="218">
        <f t="shared" si="8"/>
        <v>48000</v>
      </c>
      <c r="F323" s="60" t="s">
        <v>166</v>
      </c>
      <c r="G323" s="66"/>
      <c r="H323" s="66"/>
      <c r="I323" s="66"/>
      <c r="J323" s="66"/>
      <c r="K323" s="66"/>
      <c r="L323" s="66"/>
      <c r="M323" s="66"/>
      <c r="N323" s="66"/>
      <c r="O323" s="66"/>
      <c r="P323" s="64">
        <v>4000</v>
      </c>
      <c r="Q323" s="66"/>
      <c r="R323" s="66"/>
      <c r="S323" s="214"/>
      <c r="T323" s="219">
        <f t="shared" si="9"/>
        <v>4000</v>
      </c>
    </row>
    <row r="324" spans="1:20" ht="33.75">
      <c r="A324" s="17" t="s">
        <v>277</v>
      </c>
      <c r="B324" s="73">
        <v>1</v>
      </c>
      <c r="C324" s="67"/>
      <c r="D324" s="212">
        <v>12</v>
      </c>
      <c r="E324" s="218">
        <f t="shared" si="8"/>
        <v>60000</v>
      </c>
      <c r="F324" s="60" t="s">
        <v>166</v>
      </c>
      <c r="G324" s="66"/>
      <c r="H324" s="66"/>
      <c r="I324" s="66"/>
      <c r="J324" s="66"/>
      <c r="K324" s="66"/>
      <c r="L324" s="66"/>
      <c r="M324" s="66"/>
      <c r="N324" s="66"/>
      <c r="O324" s="66"/>
      <c r="P324" s="64">
        <v>5000</v>
      </c>
      <c r="Q324" s="66"/>
      <c r="R324" s="66"/>
      <c r="S324" s="214"/>
      <c r="T324" s="219">
        <f t="shared" si="9"/>
        <v>5000</v>
      </c>
    </row>
    <row r="325" spans="1:20" ht="22.5">
      <c r="A325" s="17" t="s">
        <v>208</v>
      </c>
      <c r="B325" s="73">
        <v>1</v>
      </c>
      <c r="C325" s="67"/>
      <c r="D325" s="212">
        <v>12</v>
      </c>
      <c r="E325" s="218">
        <f t="shared" si="8"/>
        <v>33600</v>
      </c>
      <c r="F325" s="60" t="s">
        <v>166</v>
      </c>
      <c r="G325" s="66"/>
      <c r="H325" s="66"/>
      <c r="I325" s="66"/>
      <c r="J325" s="66"/>
      <c r="K325" s="66"/>
      <c r="L325" s="66"/>
      <c r="M325" s="66"/>
      <c r="N325" s="66"/>
      <c r="O325" s="66"/>
      <c r="P325" s="64">
        <v>2800</v>
      </c>
      <c r="Q325" s="66"/>
      <c r="R325" s="66"/>
      <c r="S325" s="214"/>
      <c r="T325" s="219">
        <f t="shared" si="9"/>
        <v>2800</v>
      </c>
    </row>
    <row r="326" spans="1:20" ht="22.5">
      <c r="A326" s="17" t="s">
        <v>208</v>
      </c>
      <c r="B326" s="73">
        <v>1</v>
      </c>
      <c r="C326" s="67"/>
      <c r="D326" s="212">
        <v>12</v>
      </c>
      <c r="E326" s="218">
        <f t="shared" si="8"/>
        <v>33600</v>
      </c>
      <c r="F326" s="60" t="s">
        <v>166</v>
      </c>
      <c r="G326" s="66"/>
      <c r="H326" s="66"/>
      <c r="I326" s="66"/>
      <c r="J326" s="66"/>
      <c r="K326" s="66"/>
      <c r="L326" s="66"/>
      <c r="M326" s="66"/>
      <c r="N326" s="66"/>
      <c r="O326" s="66"/>
      <c r="P326" s="64">
        <v>2800</v>
      </c>
      <c r="Q326" s="66"/>
      <c r="R326" s="66"/>
      <c r="S326" s="214"/>
      <c r="T326" s="219">
        <f t="shared" si="9"/>
        <v>2800</v>
      </c>
    </row>
    <row r="327" spans="1:20" ht="22.5">
      <c r="A327" s="17" t="s">
        <v>208</v>
      </c>
      <c r="B327" s="73">
        <v>1</v>
      </c>
      <c r="C327" s="67"/>
      <c r="D327" s="212">
        <v>12</v>
      </c>
      <c r="E327" s="218">
        <f t="shared" ref="E327:E390" si="10">T327*12</f>
        <v>33600</v>
      </c>
      <c r="F327" s="60" t="s">
        <v>166</v>
      </c>
      <c r="G327" s="66"/>
      <c r="H327" s="66"/>
      <c r="I327" s="66"/>
      <c r="J327" s="66"/>
      <c r="K327" s="66"/>
      <c r="L327" s="66"/>
      <c r="M327" s="66"/>
      <c r="N327" s="66"/>
      <c r="O327" s="66"/>
      <c r="P327" s="64">
        <v>2800</v>
      </c>
      <c r="Q327" s="66"/>
      <c r="R327" s="66"/>
      <c r="S327" s="214"/>
      <c r="T327" s="219">
        <f t="shared" si="9"/>
        <v>2800</v>
      </c>
    </row>
    <row r="328" spans="1:20" ht="22.5">
      <c r="A328" s="17" t="s">
        <v>208</v>
      </c>
      <c r="B328" s="73">
        <v>1</v>
      </c>
      <c r="C328" s="67"/>
      <c r="D328" s="212">
        <v>12</v>
      </c>
      <c r="E328" s="218">
        <f t="shared" si="10"/>
        <v>33600</v>
      </c>
      <c r="F328" s="60" t="s">
        <v>166</v>
      </c>
      <c r="G328" s="66"/>
      <c r="H328" s="66"/>
      <c r="I328" s="66"/>
      <c r="J328" s="66"/>
      <c r="K328" s="66"/>
      <c r="L328" s="66"/>
      <c r="M328" s="66"/>
      <c r="N328" s="66"/>
      <c r="O328" s="66"/>
      <c r="P328" s="64">
        <v>2800</v>
      </c>
      <c r="Q328" s="66"/>
      <c r="R328" s="66"/>
      <c r="S328" s="214"/>
      <c r="T328" s="219">
        <f t="shared" ref="T328:T391" si="11">SUM(G328:S328)</f>
        <v>2800</v>
      </c>
    </row>
    <row r="329" spans="1:20" ht="22.5">
      <c r="A329" s="17" t="s">
        <v>208</v>
      </c>
      <c r="B329" s="73">
        <v>1</v>
      </c>
      <c r="C329" s="67"/>
      <c r="D329" s="212">
        <v>12</v>
      </c>
      <c r="E329" s="218">
        <f t="shared" si="10"/>
        <v>33600</v>
      </c>
      <c r="F329" s="60" t="s">
        <v>166</v>
      </c>
      <c r="G329" s="66"/>
      <c r="H329" s="66"/>
      <c r="I329" s="66"/>
      <c r="J329" s="66"/>
      <c r="K329" s="66"/>
      <c r="L329" s="66"/>
      <c r="M329" s="66"/>
      <c r="N329" s="66"/>
      <c r="O329" s="66"/>
      <c r="P329" s="64">
        <v>2800</v>
      </c>
      <c r="Q329" s="66"/>
      <c r="R329" s="66"/>
      <c r="S329" s="214"/>
      <c r="T329" s="219">
        <f t="shared" si="11"/>
        <v>2800</v>
      </c>
    </row>
    <row r="330" spans="1:20" ht="22.5">
      <c r="A330" s="17" t="s">
        <v>208</v>
      </c>
      <c r="B330" s="73">
        <v>1</v>
      </c>
      <c r="C330" s="67"/>
      <c r="D330" s="212">
        <v>12</v>
      </c>
      <c r="E330" s="218">
        <f t="shared" si="10"/>
        <v>33600</v>
      </c>
      <c r="F330" s="60" t="s">
        <v>166</v>
      </c>
      <c r="G330" s="66"/>
      <c r="H330" s="66"/>
      <c r="I330" s="66"/>
      <c r="J330" s="66"/>
      <c r="K330" s="66"/>
      <c r="L330" s="66"/>
      <c r="M330" s="66"/>
      <c r="N330" s="66"/>
      <c r="O330" s="66"/>
      <c r="P330" s="64">
        <v>2800</v>
      </c>
      <c r="Q330" s="66"/>
      <c r="R330" s="66"/>
      <c r="S330" s="214"/>
      <c r="T330" s="219">
        <f t="shared" si="11"/>
        <v>2800</v>
      </c>
    </row>
    <row r="331" spans="1:20" ht="22.5">
      <c r="A331" s="17" t="s">
        <v>278</v>
      </c>
      <c r="B331" s="73">
        <v>1</v>
      </c>
      <c r="C331" s="67"/>
      <c r="D331" s="212">
        <v>12</v>
      </c>
      <c r="E331" s="218">
        <f t="shared" si="10"/>
        <v>60000</v>
      </c>
      <c r="F331" s="60" t="s">
        <v>166</v>
      </c>
      <c r="G331" s="66"/>
      <c r="H331" s="66"/>
      <c r="I331" s="66"/>
      <c r="J331" s="66"/>
      <c r="K331" s="66"/>
      <c r="L331" s="66"/>
      <c r="M331" s="66"/>
      <c r="N331" s="66"/>
      <c r="O331" s="66"/>
      <c r="P331" s="64">
        <v>5000</v>
      </c>
      <c r="Q331" s="66"/>
      <c r="R331" s="66"/>
      <c r="S331" s="214"/>
      <c r="T331" s="219">
        <f t="shared" si="11"/>
        <v>5000</v>
      </c>
    </row>
    <row r="332" spans="1:20" ht="22.5">
      <c r="A332" s="17" t="s">
        <v>208</v>
      </c>
      <c r="B332" s="73">
        <v>1</v>
      </c>
      <c r="C332" s="67"/>
      <c r="D332" s="212">
        <v>12</v>
      </c>
      <c r="E332" s="218">
        <f t="shared" si="10"/>
        <v>33600</v>
      </c>
      <c r="F332" s="60" t="s">
        <v>166</v>
      </c>
      <c r="G332" s="66"/>
      <c r="H332" s="66"/>
      <c r="I332" s="66"/>
      <c r="J332" s="66"/>
      <c r="K332" s="66"/>
      <c r="L332" s="66"/>
      <c r="M332" s="66"/>
      <c r="N332" s="66"/>
      <c r="O332" s="66"/>
      <c r="P332" s="64">
        <v>2800</v>
      </c>
      <c r="Q332" s="66"/>
      <c r="R332" s="66"/>
      <c r="S332" s="214"/>
      <c r="T332" s="219">
        <f t="shared" si="11"/>
        <v>2800</v>
      </c>
    </row>
    <row r="333" spans="1:20" ht="22.5">
      <c r="A333" s="17" t="s">
        <v>208</v>
      </c>
      <c r="B333" s="73">
        <v>1</v>
      </c>
      <c r="C333" s="67"/>
      <c r="D333" s="212">
        <v>12</v>
      </c>
      <c r="E333" s="218">
        <f t="shared" si="10"/>
        <v>33600</v>
      </c>
      <c r="F333" s="60" t="s">
        <v>166</v>
      </c>
      <c r="G333" s="66"/>
      <c r="H333" s="66"/>
      <c r="I333" s="66"/>
      <c r="J333" s="66"/>
      <c r="K333" s="66"/>
      <c r="L333" s="66"/>
      <c r="M333" s="66"/>
      <c r="N333" s="66"/>
      <c r="O333" s="66"/>
      <c r="P333" s="64">
        <v>2800</v>
      </c>
      <c r="Q333" s="66"/>
      <c r="R333" s="66"/>
      <c r="S333" s="214"/>
      <c r="T333" s="219">
        <f t="shared" si="11"/>
        <v>2800</v>
      </c>
    </row>
    <row r="334" spans="1:20" ht="22.5">
      <c r="A334" s="17" t="s">
        <v>208</v>
      </c>
      <c r="B334" s="73">
        <v>1</v>
      </c>
      <c r="C334" s="67"/>
      <c r="D334" s="212">
        <v>12</v>
      </c>
      <c r="E334" s="218">
        <f t="shared" si="10"/>
        <v>33600</v>
      </c>
      <c r="F334" s="60" t="s">
        <v>166</v>
      </c>
      <c r="G334" s="66"/>
      <c r="H334" s="66"/>
      <c r="I334" s="66"/>
      <c r="J334" s="66"/>
      <c r="K334" s="66"/>
      <c r="L334" s="66"/>
      <c r="M334" s="66"/>
      <c r="N334" s="66"/>
      <c r="O334" s="66"/>
      <c r="P334" s="64">
        <v>2800</v>
      </c>
      <c r="Q334" s="66"/>
      <c r="R334" s="66"/>
      <c r="S334" s="214"/>
      <c r="T334" s="219">
        <f t="shared" si="11"/>
        <v>2800</v>
      </c>
    </row>
    <row r="335" spans="1:20" ht="22.5">
      <c r="A335" s="17" t="s">
        <v>208</v>
      </c>
      <c r="B335" s="73">
        <v>1</v>
      </c>
      <c r="C335" s="67"/>
      <c r="D335" s="212">
        <v>12</v>
      </c>
      <c r="E335" s="218">
        <f t="shared" si="10"/>
        <v>33600</v>
      </c>
      <c r="F335" s="60" t="s">
        <v>166</v>
      </c>
      <c r="G335" s="66"/>
      <c r="H335" s="66"/>
      <c r="I335" s="66"/>
      <c r="J335" s="66"/>
      <c r="K335" s="66"/>
      <c r="L335" s="66"/>
      <c r="M335" s="66"/>
      <c r="N335" s="66"/>
      <c r="O335" s="66"/>
      <c r="P335" s="64">
        <v>2800</v>
      </c>
      <c r="Q335" s="66"/>
      <c r="R335" s="66"/>
      <c r="S335" s="214"/>
      <c r="T335" s="219">
        <f t="shared" si="11"/>
        <v>2800</v>
      </c>
    </row>
    <row r="336" spans="1:20" ht="22.5">
      <c r="A336" s="17" t="s">
        <v>208</v>
      </c>
      <c r="B336" s="73">
        <v>1</v>
      </c>
      <c r="C336" s="67"/>
      <c r="D336" s="212">
        <v>12</v>
      </c>
      <c r="E336" s="218">
        <f t="shared" si="10"/>
        <v>33600</v>
      </c>
      <c r="F336" s="60" t="s">
        <v>166</v>
      </c>
      <c r="G336" s="66"/>
      <c r="H336" s="66"/>
      <c r="I336" s="66"/>
      <c r="J336" s="66"/>
      <c r="K336" s="66"/>
      <c r="L336" s="66"/>
      <c r="M336" s="66"/>
      <c r="N336" s="66"/>
      <c r="O336" s="66"/>
      <c r="P336" s="64">
        <v>2800</v>
      </c>
      <c r="Q336" s="66"/>
      <c r="R336" s="66"/>
      <c r="S336" s="214"/>
      <c r="T336" s="219">
        <f t="shared" si="11"/>
        <v>2800</v>
      </c>
    </row>
    <row r="337" spans="1:20" ht="22.5">
      <c r="A337" s="17" t="s">
        <v>208</v>
      </c>
      <c r="B337" s="73">
        <v>1</v>
      </c>
      <c r="C337" s="67"/>
      <c r="D337" s="212">
        <v>12</v>
      </c>
      <c r="E337" s="218">
        <f t="shared" si="10"/>
        <v>33600</v>
      </c>
      <c r="F337" s="60" t="s">
        <v>166</v>
      </c>
      <c r="G337" s="66"/>
      <c r="H337" s="66"/>
      <c r="I337" s="66"/>
      <c r="J337" s="66"/>
      <c r="K337" s="66"/>
      <c r="L337" s="66"/>
      <c r="M337" s="66"/>
      <c r="N337" s="66"/>
      <c r="O337" s="66"/>
      <c r="P337" s="64">
        <v>2800</v>
      </c>
      <c r="Q337" s="66"/>
      <c r="R337" s="66"/>
      <c r="S337" s="214"/>
      <c r="T337" s="219">
        <f t="shared" si="11"/>
        <v>2800</v>
      </c>
    </row>
    <row r="338" spans="1:20" ht="22.5">
      <c r="A338" s="17" t="s">
        <v>208</v>
      </c>
      <c r="B338" s="73">
        <v>1</v>
      </c>
      <c r="C338" s="67"/>
      <c r="D338" s="212">
        <v>12</v>
      </c>
      <c r="E338" s="218">
        <f t="shared" si="10"/>
        <v>33600</v>
      </c>
      <c r="F338" s="60" t="s">
        <v>166</v>
      </c>
      <c r="G338" s="66"/>
      <c r="H338" s="66"/>
      <c r="I338" s="66"/>
      <c r="J338" s="66"/>
      <c r="K338" s="66"/>
      <c r="L338" s="66"/>
      <c r="M338" s="66"/>
      <c r="N338" s="66"/>
      <c r="O338" s="66"/>
      <c r="P338" s="64">
        <v>2800</v>
      </c>
      <c r="Q338" s="66"/>
      <c r="R338" s="66"/>
      <c r="S338" s="214"/>
      <c r="T338" s="219">
        <f t="shared" si="11"/>
        <v>2800</v>
      </c>
    </row>
    <row r="339" spans="1:20" ht="22.5">
      <c r="A339" s="17" t="s">
        <v>208</v>
      </c>
      <c r="B339" s="73">
        <v>1</v>
      </c>
      <c r="C339" s="67"/>
      <c r="D339" s="212">
        <v>12</v>
      </c>
      <c r="E339" s="218">
        <f t="shared" si="10"/>
        <v>33600</v>
      </c>
      <c r="F339" s="60" t="s">
        <v>166</v>
      </c>
      <c r="G339" s="66"/>
      <c r="H339" s="66"/>
      <c r="I339" s="66"/>
      <c r="J339" s="66"/>
      <c r="K339" s="66"/>
      <c r="L339" s="66"/>
      <c r="M339" s="66"/>
      <c r="N339" s="66"/>
      <c r="O339" s="66"/>
      <c r="P339" s="64">
        <v>2800</v>
      </c>
      <c r="Q339" s="66"/>
      <c r="R339" s="66"/>
      <c r="S339" s="214"/>
      <c r="T339" s="219">
        <f t="shared" si="11"/>
        <v>2800</v>
      </c>
    </row>
    <row r="340" spans="1:20" ht="22.5">
      <c r="A340" s="17" t="s">
        <v>208</v>
      </c>
      <c r="B340" s="73">
        <v>1</v>
      </c>
      <c r="C340" s="67"/>
      <c r="D340" s="212">
        <v>12</v>
      </c>
      <c r="E340" s="218">
        <f t="shared" si="10"/>
        <v>33600</v>
      </c>
      <c r="F340" s="60" t="s">
        <v>166</v>
      </c>
      <c r="G340" s="66"/>
      <c r="H340" s="66"/>
      <c r="I340" s="66"/>
      <c r="J340" s="66"/>
      <c r="K340" s="66"/>
      <c r="L340" s="66"/>
      <c r="M340" s="66"/>
      <c r="N340" s="66"/>
      <c r="O340" s="66"/>
      <c r="P340" s="64">
        <v>2800</v>
      </c>
      <c r="Q340" s="66"/>
      <c r="R340" s="66"/>
      <c r="S340" s="214"/>
      <c r="T340" s="219">
        <f t="shared" si="11"/>
        <v>2800</v>
      </c>
    </row>
    <row r="341" spans="1:20" ht="22.5">
      <c r="A341" s="17" t="s">
        <v>208</v>
      </c>
      <c r="B341" s="73">
        <v>1</v>
      </c>
      <c r="C341" s="67"/>
      <c r="D341" s="212">
        <v>12</v>
      </c>
      <c r="E341" s="218">
        <f t="shared" si="10"/>
        <v>33600</v>
      </c>
      <c r="F341" s="60" t="s">
        <v>166</v>
      </c>
      <c r="G341" s="66"/>
      <c r="H341" s="66"/>
      <c r="I341" s="66"/>
      <c r="J341" s="66"/>
      <c r="K341" s="66"/>
      <c r="L341" s="66"/>
      <c r="M341" s="66"/>
      <c r="N341" s="66"/>
      <c r="O341" s="66"/>
      <c r="P341" s="64">
        <v>2800</v>
      </c>
      <c r="Q341" s="66"/>
      <c r="R341" s="66"/>
      <c r="S341" s="214"/>
      <c r="T341" s="219">
        <f t="shared" si="11"/>
        <v>2800</v>
      </c>
    </row>
    <row r="342" spans="1:20" ht="22.5">
      <c r="A342" s="17" t="s">
        <v>208</v>
      </c>
      <c r="B342" s="73">
        <v>1</v>
      </c>
      <c r="C342" s="67"/>
      <c r="D342" s="212">
        <v>12</v>
      </c>
      <c r="E342" s="218">
        <f t="shared" si="10"/>
        <v>33600</v>
      </c>
      <c r="F342" s="60" t="s">
        <v>166</v>
      </c>
      <c r="G342" s="66"/>
      <c r="H342" s="66"/>
      <c r="I342" s="66"/>
      <c r="J342" s="66"/>
      <c r="K342" s="66"/>
      <c r="L342" s="66"/>
      <c r="M342" s="66"/>
      <c r="N342" s="66"/>
      <c r="O342" s="66"/>
      <c r="P342" s="64">
        <v>2800</v>
      </c>
      <c r="Q342" s="66"/>
      <c r="R342" s="66"/>
      <c r="S342" s="214"/>
      <c r="T342" s="219">
        <f t="shared" si="11"/>
        <v>2800</v>
      </c>
    </row>
    <row r="343" spans="1:20" ht="22.5">
      <c r="A343" s="17" t="s">
        <v>208</v>
      </c>
      <c r="B343" s="73">
        <v>1</v>
      </c>
      <c r="C343" s="67"/>
      <c r="D343" s="212">
        <v>12</v>
      </c>
      <c r="E343" s="218">
        <f t="shared" si="10"/>
        <v>33600</v>
      </c>
      <c r="F343" s="60" t="s">
        <v>166</v>
      </c>
      <c r="G343" s="66"/>
      <c r="H343" s="66"/>
      <c r="I343" s="66"/>
      <c r="J343" s="66"/>
      <c r="K343" s="66"/>
      <c r="L343" s="66"/>
      <c r="M343" s="66"/>
      <c r="N343" s="66"/>
      <c r="O343" s="66"/>
      <c r="P343" s="64">
        <v>2800</v>
      </c>
      <c r="Q343" s="66"/>
      <c r="R343" s="66"/>
      <c r="S343" s="214"/>
      <c r="T343" s="219">
        <f t="shared" si="11"/>
        <v>2800</v>
      </c>
    </row>
    <row r="344" spans="1:20" ht="22.5">
      <c r="A344" s="17" t="s">
        <v>208</v>
      </c>
      <c r="B344" s="73">
        <v>1</v>
      </c>
      <c r="C344" s="67"/>
      <c r="D344" s="212">
        <v>12</v>
      </c>
      <c r="E344" s="218">
        <f t="shared" si="10"/>
        <v>33600</v>
      </c>
      <c r="F344" s="60" t="s">
        <v>166</v>
      </c>
      <c r="G344" s="66"/>
      <c r="H344" s="66"/>
      <c r="I344" s="66"/>
      <c r="J344" s="66"/>
      <c r="K344" s="66"/>
      <c r="L344" s="66"/>
      <c r="M344" s="66"/>
      <c r="N344" s="66"/>
      <c r="O344" s="66"/>
      <c r="P344" s="64">
        <v>2800</v>
      </c>
      <c r="Q344" s="66"/>
      <c r="R344" s="66"/>
      <c r="S344" s="214"/>
      <c r="T344" s="219">
        <f t="shared" si="11"/>
        <v>2800</v>
      </c>
    </row>
    <row r="345" spans="1:20" ht="33.75">
      <c r="A345" s="17" t="s">
        <v>279</v>
      </c>
      <c r="B345" s="73">
        <v>1</v>
      </c>
      <c r="C345" s="67"/>
      <c r="D345" s="212">
        <v>12</v>
      </c>
      <c r="E345" s="218">
        <f t="shared" si="10"/>
        <v>168000</v>
      </c>
      <c r="F345" s="60" t="s">
        <v>166</v>
      </c>
      <c r="G345" s="66"/>
      <c r="H345" s="66"/>
      <c r="I345" s="66"/>
      <c r="J345" s="66"/>
      <c r="K345" s="66"/>
      <c r="L345" s="66"/>
      <c r="M345" s="66"/>
      <c r="N345" s="66"/>
      <c r="O345" s="66"/>
      <c r="P345" s="64">
        <v>14000</v>
      </c>
      <c r="Q345" s="66"/>
      <c r="R345" s="66"/>
      <c r="S345" s="214"/>
      <c r="T345" s="219">
        <f t="shared" si="11"/>
        <v>14000</v>
      </c>
    </row>
    <row r="346" spans="1:20" ht="22.5">
      <c r="A346" s="17" t="s">
        <v>208</v>
      </c>
      <c r="B346" s="73">
        <v>1</v>
      </c>
      <c r="C346" s="67"/>
      <c r="D346" s="212">
        <v>12</v>
      </c>
      <c r="E346" s="218">
        <f t="shared" si="10"/>
        <v>33600</v>
      </c>
      <c r="F346" s="60" t="s">
        <v>166</v>
      </c>
      <c r="G346" s="66"/>
      <c r="H346" s="66"/>
      <c r="I346" s="66"/>
      <c r="J346" s="66"/>
      <c r="K346" s="66"/>
      <c r="L346" s="66"/>
      <c r="M346" s="66"/>
      <c r="N346" s="66"/>
      <c r="O346" s="66"/>
      <c r="P346" s="64">
        <v>2800</v>
      </c>
      <c r="Q346" s="66"/>
      <c r="R346" s="66"/>
      <c r="S346" s="214"/>
      <c r="T346" s="219">
        <f t="shared" si="11"/>
        <v>2800</v>
      </c>
    </row>
    <row r="347" spans="1:20" ht="22.5">
      <c r="A347" s="17" t="s">
        <v>208</v>
      </c>
      <c r="B347" s="73">
        <v>1</v>
      </c>
      <c r="C347" s="67"/>
      <c r="D347" s="212">
        <v>12</v>
      </c>
      <c r="E347" s="218">
        <f t="shared" si="10"/>
        <v>33600</v>
      </c>
      <c r="F347" s="60" t="s">
        <v>166</v>
      </c>
      <c r="G347" s="66"/>
      <c r="H347" s="66"/>
      <c r="I347" s="66"/>
      <c r="J347" s="66"/>
      <c r="K347" s="66"/>
      <c r="L347" s="66"/>
      <c r="M347" s="66"/>
      <c r="N347" s="66"/>
      <c r="O347" s="66"/>
      <c r="P347" s="64">
        <v>2800</v>
      </c>
      <c r="Q347" s="66"/>
      <c r="R347" s="66"/>
      <c r="S347" s="214"/>
      <c r="T347" s="219">
        <f t="shared" si="11"/>
        <v>2800</v>
      </c>
    </row>
    <row r="348" spans="1:20" ht="22.5">
      <c r="A348" s="17" t="s">
        <v>208</v>
      </c>
      <c r="B348" s="73">
        <v>1</v>
      </c>
      <c r="C348" s="67"/>
      <c r="D348" s="212">
        <v>12</v>
      </c>
      <c r="E348" s="218">
        <f t="shared" si="10"/>
        <v>33600</v>
      </c>
      <c r="F348" s="60" t="s">
        <v>166</v>
      </c>
      <c r="G348" s="66"/>
      <c r="H348" s="66"/>
      <c r="I348" s="66"/>
      <c r="J348" s="66"/>
      <c r="K348" s="66"/>
      <c r="L348" s="66"/>
      <c r="M348" s="66"/>
      <c r="N348" s="66"/>
      <c r="O348" s="66"/>
      <c r="P348" s="64">
        <v>2800</v>
      </c>
      <c r="Q348" s="66"/>
      <c r="R348" s="66"/>
      <c r="S348" s="214"/>
      <c r="T348" s="219">
        <f t="shared" si="11"/>
        <v>2800</v>
      </c>
    </row>
    <row r="349" spans="1:20" ht="22.5">
      <c r="A349" s="17" t="s">
        <v>208</v>
      </c>
      <c r="B349" s="73">
        <v>1</v>
      </c>
      <c r="C349" s="67"/>
      <c r="D349" s="212">
        <v>12</v>
      </c>
      <c r="E349" s="218">
        <f t="shared" si="10"/>
        <v>33600</v>
      </c>
      <c r="F349" s="60" t="s">
        <v>166</v>
      </c>
      <c r="G349" s="66"/>
      <c r="H349" s="66"/>
      <c r="I349" s="66"/>
      <c r="J349" s="66"/>
      <c r="K349" s="66"/>
      <c r="L349" s="66"/>
      <c r="M349" s="66"/>
      <c r="N349" s="66"/>
      <c r="O349" s="66"/>
      <c r="P349" s="64">
        <v>2800</v>
      </c>
      <c r="Q349" s="66"/>
      <c r="R349" s="66"/>
      <c r="S349" s="214"/>
      <c r="T349" s="219">
        <f t="shared" si="11"/>
        <v>2800</v>
      </c>
    </row>
    <row r="350" spans="1:20" ht="22.5">
      <c r="A350" s="17" t="s">
        <v>208</v>
      </c>
      <c r="B350" s="73">
        <v>1</v>
      </c>
      <c r="C350" s="67"/>
      <c r="D350" s="212">
        <v>12</v>
      </c>
      <c r="E350" s="218">
        <f t="shared" si="10"/>
        <v>33600</v>
      </c>
      <c r="F350" s="60" t="s">
        <v>166</v>
      </c>
      <c r="G350" s="66"/>
      <c r="H350" s="66"/>
      <c r="I350" s="66"/>
      <c r="J350" s="66"/>
      <c r="K350" s="66"/>
      <c r="L350" s="66"/>
      <c r="M350" s="66"/>
      <c r="N350" s="66"/>
      <c r="O350" s="66"/>
      <c r="P350" s="64">
        <v>2800</v>
      </c>
      <c r="Q350" s="66"/>
      <c r="R350" s="66"/>
      <c r="S350" s="214"/>
      <c r="T350" s="219">
        <f t="shared" si="11"/>
        <v>2800</v>
      </c>
    </row>
    <row r="351" spans="1:20" ht="33.75">
      <c r="A351" s="17" t="s">
        <v>209</v>
      </c>
      <c r="B351" s="73">
        <v>1</v>
      </c>
      <c r="C351" s="67"/>
      <c r="D351" s="212">
        <v>12</v>
      </c>
      <c r="E351" s="218">
        <f t="shared" si="10"/>
        <v>60000</v>
      </c>
      <c r="F351" s="60" t="s">
        <v>166</v>
      </c>
      <c r="G351" s="66"/>
      <c r="H351" s="66"/>
      <c r="I351" s="66"/>
      <c r="J351" s="66"/>
      <c r="K351" s="66"/>
      <c r="L351" s="66"/>
      <c r="M351" s="66"/>
      <c r="N351" s="66"/>
      <c r="O351" s="66"/>
      <c r="P351" s="64">
        <v>5000</v>
      </c>
      <c r="Q351" s="66"/>
      <c r="R351" s="66"/>
      <c r="S351" s="214"/>
      <c r="T351" s="219">
        <f t="shared" si="11"/>
        <v>5000</v>
      </c>
    </row>
    <row r="352" spans="1:20" ht="33.75">
      <c r="A352" s="17" t="s">
        <v>209</v>
      </c>
      <c r="B352" s="73">
        <v>1</v>
      </c>
      <c r="C352" s="67"/>
      <c r="D352" s="212">
        <v>12</v>
      </c>
      <c r="E352" s="218">
        <f t="shared" si="10"/>
        <v>60000</v>
      </c>
      <c r="F352" s="60" t="s">
        <v>166</v>
      </c>
      <c r="G352" s="66"/>
      <c r="H352" s="66"/>
      <c r="I352" s="66"/>
      <c r="J352" s="66"/>
      <c r="K352" s="66"/>
      <c r="L352" s="66"/>
      <c r="M352" s="66"/>
      <c r="N352" s="66"/>
      <c r="O352" s="66"/>
      <c r="P352" s="64">
        <v>5000</v>
      </c>
      <c r="Q352" s="66"/>
      <c r="R352" s="66"/>
      <c r="S352" s="214"/>
      <c r="T352" s="219">
        <f t="shared" si="11"/>
        <v>5000</v>
      </c>
    </row>
    <row r="353" spans="1:20" ht="33.75">
      <c r="A353" s="17" t="s">
        <v>210</v>
      </c>
      <c r="B353" s="73">
        <v>1</v>
      </c>
      <c r="C353" s="67"/>
      <c r="D353" s="212">
        <v>12</v>
      </c>
      <c r="E353" s="218">
        <f t="shared" si="10"/>
        <v>90000</v>
      </c>
      <c r="F353" s="60" t="s">
        <v>166</v>
      </c>
      <c r="G353" s="66"/>
      <c r="H353" s="66"/>
      <c r="I353" s="66"/>
      <c r="J353" s="66"/>
      <c r="K353" s="66"/>
      <c r="L353" s="66"/>
      <c r="M353" s="66"/>
      <c r="N353" s="66"/>
      <c r="O353" s="66"/>
      <c r="P353" s="64">
        <v>7500</v>
      </c>
      <c r="Q353" s="66"/>
      <c r="R353" s="66"/>
      <c r="S353" s="214"/>
      <c r="T353" s="219">
        <f t="shared" si="11"/>
        <v>7500</v>
      </c>
    </row>
    <row r="354" spans="1:20" ht="33.75">
      <c r="A354" s="17" t="s">
        <v>210</v>
      </c>
      <c r="B354" s="73">
        <v>1</v>
      </c>
      <c r="C354" s="67"/>
      <c r="D354" s="212">
        <v>12</v>
      </c>
      <c r="E354" s="218">
        <f t="shared" si="10"/>
        <v>66000</v>
      </c>
      <c r="F354" s="60" t="s">
        <v>166</v>
      </c>
      <c r="G354" s="66"/>
      <c r="H354" s="66"/>
      <c r="I354" s="66"/>
      <c r="J354" s="66"/>
      <c r="K354" s="66"/>
      <c r="L354" s="66"/>
      <c r="M354" s="66"/>
      <c r="N354" s="66"/>
      <c r="O354" s="66"/>
      <c r="P354" s="64">
        <v>5500</v>
      </c>
      <c r="Q354" s="66"/>
      <c r="R354" s="66"/>
      <c r="S354" s="214"/>
      <c r="T354" s="219">
        <f t="shared" si="11"/>
        <v>5500</v>
      </c>
    </row>
    <row r="355" spans="1:20" ht="33.75">
      <c r="A355" s="17" t="s">
        <v>210</v>
      </c>
      <c r="B355" s="73">
        <v>1</v>
      </c>
      <c r="C355" s="67"/>
      <c r="D355" s="212">
        <v>12</v>
      </c>
      <c r="E355" s="218">
        <f t="shared" si="10"/>
        <v>54000</v>
      </c>
      <c r="F355" s="60" t="s">
        <v>166</v>
      </c>
      <c r="G355" s="66"/>
      <c r="H355" s="66"/>
      <c r="I355" s="66"/>
      <c r="J355" s="66"/>
      <c r="K355" s="66"/>
      <c r="L355" s="66"/>
      <c r="M355" s="66"/>
      <c r="N355" s="66"/>
      <c r="O355" s="66"/>
      <c r="P355" s="64">
        <v>4500</v>
      </c>
      <c r="Q355" s="66"/>
      <c r="R355" s="66"/>
      <c r="S355" s="214"/>
      <c r="T355" s="219">
        <f t="shared" si="11"/>
        <v>4500</v>
      </c>
    </row>
    <row r="356" spans="1:20" ht="33.75">
      <c r="A356" s="17" t="s">
        <v>210</v>
      </c>
      <c r="B356" s="73">
        <v>1</v>
      </c>
      <c r="C356" s="67"/>
      <c r="D356" s="212">
        <v>12</v>
      </c>
      <c r="E356" s="218">
        <f t="shared" si="10"/>
        <v>54000</v>
      </c>
      <c r="F356" s="60" t="s">
        <v>166</v>
      </c>
      <c r="G356" s="66"/>
      <c r="H356" s="66"/>
      <c r="I356" s="66"/>
      <c r="J356" s="66"/>
      <c r="K356" s="66"/>
      <c r="L356" s="66"/>
      <c r="M356" s="66"/>
      <c r="N356" s="66"/>
      <c r="O356" s="66"/>
      <c r="P356" s="64">
        <v>4500</v>
      </c>
      <c r="Q356" s="66"/>
      <c r="R356" s="66"/>
      <c r="S356" s="214"/>
      <c r="T356" s="219">
        <f t="shared" si="11"/>
        <v>4500</v>
      </c>
    </row>
    <row r="357" spans="1:20" ht="33.75">
      <c r="A357" s="17" t="s">
        <v>210</v>
      </c>
      <c r="B357" s="73">
        <v>1</v>
      </c>
      <c r="C357" s="67"/>
      <c r="D357" s="212">
        <v>12</v>
      </c>
      <c r="E357" s="218">
        <f t="shared" si="10"/>
        <v>54000</v>
      </c>
      <c r="F357" s="60" t="s">
        <v>166</v>
      </c>
      <c r="G357" s="66"/>
      <c r="H357" s="66"/>
      <c r="I357" s="66"/>
      <c r="J357" s="66"/>
      <c r="K357" s="66"/>
      <c r="L357" s="66"/>
      <c r="M357" s="66"/>
      <c r="N357" s="66"/>
      <c r="O357" s="66"/>
      <c r="P357" s="64">
        <v>4500</v>
      </c>
      <c r="Q357" s="66"/>
      <c r="R357" s="66"/>
      <c r="S357" s="214"/>
      <c r="T357" s="219">
        <f t="shared" si="11"/>
        <v>4500</v>
      </c>
    </row>
    <row r="358" spans="1:20" ht="33.75">
      <c r="A358" s="17" t="s">
        <v>210</v>
      </c>
      <c r="B358" s="73">
        <v>1</v>
      </c>
      <c r="C358" s="67"/>
      <c r="D358" s="212">
        <v>12</v>
      </c>
      <c r="E358" s="218">
        <f t="shared" si="10"/>
        <v>54000</v>
      </c>
      <c r="F358" s="60" t="s">
        <v>166</v>
      </c>
      <c r="G358" s="66"/>
      <c r="H358" s="66"/>
      <c r="I358" s="66"/>
      <c r="J358" s="66"/>
      <c r="K358" s="66"/>
      <c r="L358" s="66"/>
      <c r="M358" s="66"/>
      <c r="N358" s="66"/>
      <c r="O358" s="66"/>
      <c r="P358" s="64">
        <v>4500</v>
      </c>
      <c r="Q358" s="66"/>
      <c r="R358" s="66"/>
      <c r="S358" s="214"/>
      <c r="T358" s="219">
        <f t="shared" si="11"/>
        <v>4500</v>
      </c>
    </row>
    <row r="359" spans="1:20" ht="33.75">
      <c r="A359" s="17" t="s">
        <v>210</v>
      </c>
      <c r="B359" s="73">
        <v>1</v>
      </c>
      <c r="C359" s="67"/>
      <c r="D359" s="212">
        <v>12</v>
      </c>
      <c r="E359" s="218">
        <f t="shared" si="10"/>
        <v>42000</v>
      </c>
      <c r="F359" s="60" t="s">
        <v>166</v>
      </c>
      <c r="G359" s="66"/>
      <c r="H359" s="66"/>
      <c r="I359" s="66"/>
      <c r="J359" s="66"/>
      <c r="K359" s="66"/>
      <c r="L359" s="66"/>
      <c r="M359" s="66"/>
      <c r="N359" s="66"/>
      <c r="O359" s="66"/>
      <c r="P359" s="64">
        <v>3500</v>
      </c>
      <c r="Q359" s="66"/>
      <c r="R359" s="66"/>
      <c r="S359" s="214"/>
      <c r="T359" s="219">
        <f t="shared" si="11"/>
        <v>3500</v>
      </c>
    </row>
    <row r="360" spans="1:20" ht="33.75">
      <c r="A360" s="17" t="s">
        <v>210</v>
      </c>
      <c r="B360" s="73">
        <v>1</v>
      </c>
      <c r="C360" s="67"/>
      <c r="D360" s="212">
        <v>12</v>
      </c>
      <c r="E360" s="218">
        <f t="shared" si="10"/>
        <v>54000</v>
      </c>
      <c r="F360" s="60" t="s">
        <v>166</v>
      </c>
      <c r="G360" s="66"/>
      <c r="H360" s="66"/>
      <c r="I360" s="66"/>
      <c r="J360" s="66"/>
      <c r="K360" s="66"/>
      <c r="L360" s="66"/>
      <c r="M360" s="66"/>
      <c r="N360" s="66"/>
      <c r="O360" s="66"/>
      <c r="P360" s="64">
        <v>4500</v>
      </c>
      <c r="Q360" s="66"/>
      <c r="R360" s="66"/>
      <c r="S360" s="214"/>
      <c r="T360" s="219">
        <f t="shared" si="11"/>
        <v>4500</v>
      </c>
    </row>
    <row r="361" spans="1:20" ht="33.75">
      <c r="A361" s="17" t="s">
        <v>210</v>
      </c>
      <c r="B361" s="73">
        <v>1</v>
      </c>
      <c r="C361" s="67"/>
      <c r="D361" s="212">
        <v>12</v>
      </c>
      <c r="E361" s="218">
        <f t="shared" si="10"/>
        <v>54000</v>
      </c>
      <c r="F361" s="60" t="s">
        <v>166</v>
      </c>
      <c r="G361" s="66"/>
      <c r="H361" s="66"/>
      <c r="I361" s="66"/>
      <c r="J361" s="66"/>
      <c r="K361" s="66"/>
      <c r="L361" s="66"/>
      <c r="M361" s="66"/>
      <c r="N361" s="66"/>
      <c r="O361" s="66"/>
      <c r="P361" s="64">
        <v>4500</v>
      </c>
      <c r="Q361" s="66"/>
      <c r="R361" s="66"/>
      <c r="S361" s="214"/>
      <c r="T361" s="219">
        <f t="shared" si="11"/>
        <v>4500</v>
      </c>
    </row>
    <row r="362" spans="1:20" ht="33.75">
      <c r="A362" s="17" t="s">
        <v>210</v>
      </c>
      <c r="B362" s="73">
        <v>1</v>
      </c>
      <c r="C362" s="67"/>
      <c r="D362" s="212">
        <v>12</v>
      </c>
      <c r="E362" s="218">
        <f t="shared" si="10"/>
        <v>54000</v>
      </c>
      <c r="F362" s="60" t="s">
        <v>166</v>
      </c>
      <c r="G362" s="66"/>
      <c r="H362" s="66"/>
      <c r="I362" s="66"/>
      <c r="J362" s="66"/>
      <c r="K362" s="66"/>
      <c r="L362" s="66"/>
      <c r="M362" s="66"/>
      <c r="N362" s="66"/>
      <c r="O362" s="66"/>
      <c r="P362" s="64">
        <v>4500</v>
      </c>
      <c r="Q362" s="66"/>
      <c r="R362" s="66"/>
      <c r="S362" s="214"/>
      <c r="T362" s="219">
        <f t="shared" si="11"/>
        <v>4500</v>
      </c>
    </row>
    <row r="363" spans="1:20" ht="33.75">
      <c r="A363" s="17" t="s">
        <v>210</v>
      </c>
      <c r="B363" s="73">
        <v>1</v>
      </c>
      <c r="C363" s="67"/>
      <c r="D363" s="212">
        <v>12</v>
      </c>
      <c r="E363" s="218">
        <f t="shared" si="10"/>
        <v>54000</v>
      </c>
      <c r="F363" s="60" t="s">
        <v>166</v>
      </c>
      <c r="G363" s="66"/>
      <c r="H363" s="66"/>
      <c r="I363" s="66"/>
      <c r="J363" s="66"/>
      <c r="K363" s="66"/>
      <c r="L363" s="66"/>
      <c r="M363" s="66"/>
      <c r="N363" s="66"/>
      <c r="O363" s="66"/>
      <c r="P363" s="64">
        <v>4500</v>
      </c>
      <c r="Q363" s="66"/>
      <c r="R363" s="66"/>
      <c r="S363" s="214"/>
      <c r="T363" s="219">
        <f t="shared" si="11"/>
        <v>4500</v>
      </c>
    </row>
    <row r="364" spans="1:20" ht="33.75">
      <c r="A364" s="17" t="s">
        <v>210</v>
      </c>
      <c r="B364" s="73">
        <v>1</v>
      </c>
      <c r="C364" s="67"/>
      <c r="D364" s="212">
        <v>12</v>
      </c>
      <c r="E364" s="218">
        <f t="shared" si="10"/>
        <v>54000</v>
      </c>
      <c r="F364" s="60" t="s">
        <v>166</v>
      </c>
      <c r="G364" s="66"/>
      <c r="H364" s="66"/>
      <c r="I364" s="66"/>
      <c r="J364" s="66"/>
      <c r="K364" s="66"/>
      <c r="L364" s="66"/>
      <c r="M364" s="66"/>
      <c r="N364" s="66"/>
      <c r="O364" s="66"/>
      <c r="P364" s="64">
        <v>4500</v>
      </c>
      <c r="Q364" s="66"/>
      <c r="R364" s="66"/>
      <c r="S364" s="214"/>
      <c r="T364" s="219">
        <f t="shared" si="11"/>
        <v>4500</v>
      </c>
    </row>
    <row r="365" spans="1:20" ht="33.75">
      <c r="A365" s="17" t="s">
        <v>210</v>
      </c>
      <c r="B365" s="73">
        <v>1</v>
      </c>
      <c r="C365" s="67"/>
      <c r="D365" s="212">
        <v>12</v>
      </c>
      <c r="E365" s="218">
        <f t="shared" si="10"/>
        <v>54000</v>
      </c>
      <c r="F365" s="60" t="s">
        <v>166</v>
      </c>
      <c r="G365" s="66"/>
      <c r="H365" s="66"/>
      <c r="I365" s="66"/>
      <c r="J365" s="66"/>
      <c r="K365" s="66"/>
      <c r="L365" s="66"/>
      <c r="M365" s="66"/>
      <c r="N365" s="66"/>
      <c r="O365" s="66"/>
      <c r="P365" s="64">
        <v>4500</v>
      </c>
      <c r="Q365" s="66"/>
      <c r="R365" s="66"/>
      <c r="S365" s="214"/>
      <c r="T365" s="219">
        <f t="shared" si="11"/>
        <v>4500</v>
      </c>
    </row>
    <row r="366" spans="1:20" ht="33.75">
      <c r="A366" s="17" t="s">
        <v>210</v>
      </c>
      <c r="B366" s="73">
        <v>1</v>
      </c>
      <c r="C366" s="67"/>
      <c r="D366" s="212">
        <v>12</v>
      </c>
      <c r="E366" s="218">
        <f t="shared" si="10"/>
        <v>54000</v>
      </c>
      <c r="F366" s="60" t="s">
        <v>166</v>
      </c>
      <c r="G366" s="66"/>
      <c r="H366" s="66"/>
      <c r="I366" s="66"/>
      <c r="J366" s="66"/>
      <c r="K366" s="66"/>
      <c r="L366" s="66"/>
      <c r="M366" s="66"/>
      <c r="N366" s="66"/>
      <c r="O366" s="66"/>
      <c r="P366" s="64">
        <v>4500</v>
      </c>
      <c r="Q366" s="66"/>
      <c r="R366" s="66"/>
      <c r="S366" s="214"/>
      <c r="T366" s="219">
        <f t="shared" si="11"/>
        <v>4500</v>
      </c>
    </row>
    <row r="367" spans="1:20" ht="33.75">
      <c r="A367" s="17" t="s">
        <v>280</v>
      </c>
      <c r="B367" s="73">
        <v>1</v>
      </c>
      <c r="C367" s="67"/>
      <c r="D367" s="212">
        <v>12</v>
      </c>
      <c r="E367" s="218">
        <f t="shared" si="10"/>
        <v>84000</v>
      </c>
      <c r="F367" s="60" t="s">
        <v>166</v>
      </c>
      <c r="G367" s="66"/>
      <c r="H367" s="66"/>
      <c r="I367" s="66"/>
      <c r="J367" s="66"/>
      <c r="K367" s="66"/>
      <c r="L367" s="66"/>
      <c r="M367" s="66"/>
      <c r="N367" s="66"/>
      <c r="O367" s="66"/>
      <c r="P367" s="64">
        <v>7000</v>
      </c>
      <c r="Q367" s="66"/>
      <c r="R367" s="66"/>
      <c r="S367" s="214"/>
      <c r="T367" s="219">
        <f t="shared" si="11"/>
        <v>7000</v>
      </c>
    </row>
    <row r="368" spans="1:20" ht="33.75">
      <c r="A368" s="17" t="s">
        <v>280</v>
      </c>
      <c r="B368" s="73">
        <v>1</v>
      </c>
      <c r="C368" s="67"/>
      <c r="D368" s="212">
        <v>12</v>
      </c>
      <c r="E368" s="218">
        <f t="shared" si="10"/>
        <v>72000</v>
      </c>
      <c r="F368" s="60" t="s">
        <v>166</v>
      </c>
      <c r="G368" s="66"/>
      <c r="H368" s="66"/>
      <c r="I368" s="66"/>
      <c r="J368" s="66"/>
      <c r="K368" s="66"/>
      <c r="L368" s="66"/>
      <c r="M368" s="66"/>
      <c r="N368" s="66"/>
      <c r="O368" s="66"/>
      <c r="P368" s="64">
        <v>6000</v>
      </c>
      <c r="Q368" s="66"/>
      <c r="R368" s="66"/>
      <c r="S368" s="214"/>
      <c r="T368" s="219">
        <f t="shared" si="11"/>
        <v>6000</v>
      </c>
    </row>
    <row r="369" spans="1:20" ht="33.75">
      <c r="A369" s="17" t="s">
        <v>211</v>
      </c>
      <c r="B369" s="73">
        <v>1</v>
      </c>
      <c r="C369" s="67"/>
      <c r="D369" s="212">
        <v>12</v>
      </c>
      <c r="E369" s="218">
        <f t="shared" si="10"/>
        <v>60000</v>
      </c>
      <c r="F369" s="60" t="s">
        <v>166</v>
      </c>
      <c r="G369" s="66"/>
      <c r="H369" s="66"/>
      <c r="I369" s="66"/>
      <c r="J369" s="66"/>
      <c r="K369" s="66"/>
      <c r="L369" s="66"/>
      <c r="M369" s="66"/>
      <c r="N369" s="66"/>
      <c r="O369" s="66"/>
      <c r="P369" s="64">
        <v>5000</v>
      </c>
      <c r="Q369" s="66"/>
      <c r="R369" s="66"/>
      <c r="S369" s="214"/>
      <c r="T369" s="219">
        <f t="shared" si="11"/>
        <v>5000</v>
      </c>
    </row>
    <row r="370" spans="1:20" ht="33.75">
      <c r="A370" s="17" t="s">
        <v>211</v>
      </c>
      <c r="B370" s="73">
        <v>1</v>
      </c>
      <c r="C370" s="67"/>
      <c r="D370" s="212">
        <v>12</v>
      </c>
      <c r="E370" s="218">
        <f t="shared" si="10"/>
        <v>60000</v>
      </c>
      <c r="F370" s="60" t="s">
        <v>166</v>
      </c>
      <c r="G370" s="66"/>
      <c r="H370" s="66"/>
      <c r="I370" s="66"/>
      <c r="J370" s="66"/>
      <c r="K370" s="66"/>
      <c r="L370" s="66"/>
      <c r="M370" s="66"/>
      <c r="N370" s="66"/>
      <c r="O370" s="66"/>
      <c r="P370" s="64">
        <v>5000</v>
      </c>
      <c r="Q370" s="66"/>
      <c r="R370" s="66"/>
      <c r="S370" s="214"/>
      <c r="T370" s="219">
        <f t="shared" si="11"/>
        <v>5000</v>
      </c>
    </row>
    <row r="371" spans="1:20" ht="33.75">
      <c r="A371" s="17" t="s">
        <v>212</v>
      </c>
      <c r="B371" s="73">
        <v>1</v>
      </c>
      <c r="C371" s="67"/>
      <c r="D371" s="212">
        <v>12</v>
      </c>
      <c r="E371" s="218">
        <f t="shared" si="10"/>
        <v>54000</v>
      </c>
      <c r="F371" s="60" t="s">
        <v>166</v>
      </c>
      <c r="G371" s="66"/>
      <c r="H371" s="66"/>
      <c r="I371" s="66"/>
      <c r="J371" s="66"/>
      <c r="K371" s="66"/>
      <c r="L371" s="66"/>
      <c r="M371" s="66"/>
      <c r="N371" s="66"/>
      <c r="O371" s="66"/>
      <c r="P371" s="64">
        <v>4500</v>
      </c>
      <c r="Q371" s="66"/>
      <c r="R371" s="66"/>
      <c r="S371" s="214"/>
      <c r="T371" s="219">
        <f t="shared" si="11"/>
        <v>4500</v>
      </c>
    </row>
    <row r="372" spans="1:20" ht="33.75">
      <c r="A372" s="17" t="s">
        <v>212</v>
      </c>
      <c r="B372" s="73">
        <v>1</v>
      </c>
      <c r="C372" s="67"/>
      <c r="D372" s="212">
        <v>12</v>
      </c>
      <c r="E372" s="218">
        <f t="shared" si="10"/>
        <v>54000</v>
      </c>
      <c r="F372" s="60" t="s">
        <v>166</v>
      </c>
      <c r="G372" s="66"/>
      <c r="H372" s="66"/>
      <c r="I372" s="66"/>
      <c r="J372" s="66"/>
      <c r="K372" s="66"/>
      <c r="L372" s="66"/>
      <c r="M372" s="66"/>
      <c r="N372" s="66"/>
      <c r="O372" s="66"/>
      <c r="P372" s="64">
        <v>4500</v>
      </c>
      <c r="Q372" s="66"/>
      <c r="R372" s="66"/>
      <c r="S372" s="214"/>
      <c r="T372" s="219">
        <f t="shared" si="11"/>
        <v>4500</v>
      </c>
    </row>
    <row r="373" spans="1:20" ht="33.75">
      <c r="A373" s="17" t="s">
        <v>212</v>
      </c>
      <c r="B373" s="73">
        <v>1</v>
      </c>
      <c r="C373" s="67"/>
      <c r="D373" s="212">
        <v>12</v>
      </c>
      <c r="E373" s="218">
        <f t="shared" si="10"/>
        <v>54000</v>
      </c>
      <c r="F373" s="60" t="s">
        <v>166</v>
      </c>
      <c r="G373" s="66"/>
      <c r="H373" s="66"/>
      <c r="I373" s="66"/>
      <c r="J373" s="66"/>
      <c r="K373" s="66"/>
      <c r="L373" s="66"/>
      <c r="M373" s="66"/>
      <c r="N373" s="66"/>
      <c r="O373" s="66"/>
      <c r="P373" s="64">
        <v>4500</v>
      </c>
      <c r="Q373" s="66"/>
      <c r="R373" s="66"/>
      <c r="S373" s="214"/>
      <c r="T373" s="219">
        <f t="shared" si="11"/>
        <v>4500</v>
      </c>
    </row>
    <row r="374" spans="1:20" ht="33.75">
      <c r="A374" s="17" t="s">
        <v>212</v>
      </c>
      <c r="B374" s="73">
        <v>1</v>
      </c>
      <c r="C374" s="67"/>
      <c r="D374" s="212">
        <v>12</v>
      </c>
      <c r="E374" s="218">
        <f t="shared" si="10"/>
        <v>54000</v>
      </c>
      <c r="F374" s="60" t="s">
        <v>166</v>
      </c>
      <c r="G374" s="66"/>
      <c r="H374" s="66"/>
      <c r="I374" s="66"/>
      <c r="J374" s="66"/>
      <c r="K374" s="66"/>
      <c r="L374" s="66"/>
      <c r="M374" s="66"/>
      <c r="N374" s="66"/>
      <c r="O374" s="66"/>
      <c r="P374" s="64">
        <v>4500</v>
      </c>
      <c r="Q374" s="66"/>
      <c r="R374" s="66"/>
      <c r="S374" s="214"/>
      <c r="T374" s="219">
        <f t="shared" si="11"/>
        <v>4500</v>
      </c>
    </row>
    <row r="375" spans="1:20" ht="33.75">
      <c r="A375" s="17" t="s">
        <v>212</v>
      </c>
      <c r="B375" s="73">
        <v>1</v>
      </c>
      <c r="C375" s="67"/>
      <c r="D375" s="212">
        <v>12</v>
      </c>
      <c r="E375" s="218">
        <f t="shared" si="10"/>
        <v>54000</v>
      </c>
      <c r="F375" s="60" t="s">
        <v>166</v>
      </c>
      <c r="G375" s="66"/>
      <c r="H375" s="66"/>
      <c r="I375" s="66"/>
      <c r="J375" s="66"/>
      <c r="K375" s="66"/>
      <c r="L375" s="66"/>
      <c r="M375" s="66"/>
      <c r="N375" s="66"/>
      <c r="O375" s="66"/>
      <c r="P375" s="64">
        <v>4500</v>
      </c>
      <c r="Q375" s="66"/>
      <c r="R375" s="66"/>
      <c r="S375" s="214"/>
      <c r="T375" s="219">
        <f t="shared" si="11"/>
        <v>4500</v>
      </c>
    </row>
    <row r="376" spans="1:20" ht="33.75">
      <c r="A376" s="17" t="s">
        <v>212</v>
      </c>
      <c r="B376" s="73">
        <v>1</v>
      </c>
      <c r="C376" s="67"/>
      <c r="D376" s="212">
        <v>12</v>
      </c>
      <c r="E376" s="218">
        <f t="shared" si="10"/>
        <v>54000</v>
      </c>
      <c r="F376" s="60" t="s">
        <v>166</v>
      </c>
      <c r="G376" s="66"/>
      <c r="H376" s="66"/>
      <c r="I376" s="66"/>
      <c r="J376" s="66"/>
      <c r="K376" s="66"/>
      <c r="L376" s="66"/>
      <c r="M376" s="66"/>
      <c r="N376" s="66"/>
      <c r="O376" s="66"/>
      <c r="P376" s="64">
        <v>4500</v>
      </c>
      <c r="Q376" s="66"/>
      <c r="R376" s="66"/>
      <c r="S376" s="214"/>
      <c r="T376" s="219">
        <f t="shared" si="11"/>
        <v>4500</v>
      </c>
    </row>
    <row r="377" spans="1:20" ht="33.75">
      <c r="A377" s="17" t="s">
        <v>212</v>
      </c>
      <c r="B377" s="73">
        <v>1</v>
      </c>
      <c r="C377" s="67"/>
      <c r="D377" s="212">
        <v>12</v>
      </c>
      <c r="E377" s="218">
        <f t="shared" si="10"/>
        <v>54000</v>
      </c>
      <c r="F377" s="60" t="s">
        <v>166</v>
      </c>
      <c r="G377" s="66"/>
      <c r="H377" s="66"/>
      <c r="I377" s="66"/>
      <c r="J377" s="66"/>
      <c r="K377" s="66"/>
      <c r="L377" s="66"/>
      <c r="M377" s="66"/>
      <c r="N377" s="66"/>
      <c r="O377" s="66"/>
      <c r="P377" s="64">
        <v>4500</v>
      </c>
      <c r="Q377" s="66"/>
      <c r="R377" s="66"/>
      <c r="S377" s="214"/>
      <c r="T377" s="219">
        <f t="shared" si="11"/>
        <v>4500</v>
      </c>
    </row>
    <row r="378" spans="1:20" ht="33.75">
      <c r="A378" s="17" t="s">
        <v>212</v>
      </c>
      <c r="B378" s="73">
        <v>1</v>
      </c>
      <c r="C378" s="67"/>
      <c r="D378" s="212">
        <v>12</v>
      </c>
      <c r="E378" s="218">
        <f t="shared" si="10"/>
        <v>54000</v>
      </c>
      <c r="F378" s="60" t="s">
        <v>166</v>
      </c>
      <c r="G378" s="66"/>
      <c r="H378" s="66"/>
      <c r="I378" s="66"/>
      <c r="J378" s="66"/>
      <c r="K378" s="66"/>
      <c r="L378" s="66"/>
      <c r="M378" s="66"/>
      <c r="N378" s="66"/>
      <c r="O378" s="66"/>
      <c r="P378" s="64">
        <v>4500</v>
      </c>
      <c r="Q378" s="66"/>
      <c r="R378" s="66"/>
      <c r="S378" s="214"/>
      <c r="T378" s="219">
        <f t="shared" si="11"/>
        <v>4500</v>
      </c>
    </row>
    <row r="379" spans="1:20" ht="33.75">
      <c r="A379" s="17" t="s">
        <v>212</v>
      </c>
      <c r="B379" s="73">
        <v>1</v>
      </c>
      <c r="C379" s="67"/>
      <c r="D379" s="212">
        <v>12</v>
      </c>
      <c r="E379" s="218">
        <f t="shared" si="10"/>
        <v>54000</v>
      </c>
      <c r="F379" s="60" t="s">
        <v>166</v>
      </c>
      <c r="G379" s="66"/>
      <c r="H379" s="66"/>
      <c r="I379" s="66"/>
      <c r="J379" s="66"/>
      <c r="K379" s="66"/>
      <c r="L379" s="66"/>
      <c r="M379" s="66"/>
      <c r="N379" s="66"/>
      <c r="O379" s="66"/>
      <c r="P379" s="64">
        <v>4500</v>
      </c>
      <c r="Q379" s="66"/>
      <c r="R379" s="66"/>
      <c r="S379" s="214"/>
      <c r="T379" s="219">
        <f t="shared" si="11"/>
        <v>4500</v>
      </c>
    </row>
    <row r="380" spans="1:20" ht="33.75">
      <c r="A380" s="17" t="s">
        <v>212</v>
      </c>
      <c r="B380" s="73">
        <v>1</v>
      </c>
      <c r="C380" s="67"/>
      <c r="D380" s="212">
        <v>12</v>
      </c>
      <c r="E380" s="218">
        <f t="shared" si="10"/>
        <v>54000</v>
      </c>
      <c r="F380" s="60" t="s">
        <v>166</v>
      </c>
      <c r="G380" s="66"/>
      <c r="H380" s="66"/>
      <c r="I380" s="66"/>
      <c r="J380" s="66"/>
      <c r="K380" s="66"/>
      <c r="L380" s="66"/>
      <c r="M380" s="66"/>
      <c r="N380" s="66"/>
      <c r="O380" s="66"/>
      <c r="P380" s="64">
        <v>4500</v>
      </c>
      <c r="Q380" s="66"/>
      <c r="R380" s="66"/>
      <c r="S380" s="214"/>
      <c r="T380" s="219">
        <f t="shared" si="11"/>
        <v>4500</v>
      </c>
    </row>
    <row r="381" spans="1:20" ht="33.75">
      <c r="A381" s="17" t="s">
        <v>212</v>
      </c>
      <c r="B381" s="73">
        <v>1</v>
      </c>
      <c r="C381" s="67"/>
      <c r="D381" s="212">
        <v>12</v>
      </c>
      <c r="E381" s="218">
        <f t="shared" si="10"/>
        <v>54000</v>
      </c>
      <c r="F381" s="60" t="s">
        <v>166</v>
      </c>
      <c r="G381" s="66"/>
      <c r="H381" s="66"/>
      <c r="I381" s="66"/>
      <c r="J381" s="66"/>
      <c r="K381" s="66"/>
      <c r="L381" s="66"/>
      <c r="M381" s="66"/>
      <c r="N381" s="66"/>
      <c r="O381" s="66"/>
      <c r="P381" s="64">
        <v>4500</v>
      </c>
      <c r="Q381" s="66"/>
      <c r="R381" s="66"/>
      <c r="S381" s="214"/>
      <c r="T381" s="219">
        <f t="shared" si="11"/>
        <v>4500</v>
      </c>
    </row>
    <row r="382" spans="1:20" ht="33.75">
      <c r="A382" s="17" t="s">
        <v>275</v>
      </c>
      <c r="B382" s="73">
        <v>1</v>
      </c>
      <c r="C382" s="67"/>
      <c r="D382" s="212">
        <v>12</v>
      </c>
      <c r="E382" s="218">
        <f t="shared" si="10"/>
        <v>60000</v>
      </c>
      <c r="F382" s="60" t="s">
        <v>166</v>
      </c>
      <c r="G382" s="66"/>
      <c r="H382" s="66"/>
      <c r="I382" s="66"/>
      <c r="J382" s="66"/>
      <c r="K382" s="66"/>
      <c r="L382" s="66"/>
      <c r="M382" s="66"/>
      <c r="N382" s="66"/>
      <c r="O382" s="66"/>
      <c r="P382" s="64">
        <v>5000</v>
      </c>
      <c r="Q382" s="66"/>
      <c r="R382" s="66"/>
      <c r="S382" s="214"/>
      <c r="T382" s="219">
        <f t="shared" si="11"/>
        <v>5000</v>
      </c>
    </row>
    <row r="383" spans="1:20" ht="33.75">
      <c r="A383" s="17" t="s">
        <v>281</v>
      </c>
      <c r="B383" s="73">
        <v>1</v>
      </c>
      <c r="C383" s="67"/>
      <c r="D383" s="212">
        <v>12</v>
      </c>
      <c r="E383" s="218">
        <f t="shared" si="10"/>
        <v>192000</v>
      </c>
      <c r="F383" s="60" t="s">
        <v>166</v>
      </c>
      <c r="G383" s="66"/>
      <c r="H383" s="66"/>
      <c r="I383" s="66"/>
      <c r="J383" s="66"/>
      <c r="K383" s="66"/>
      <c r="L383" s="66"/>
      <c r="M383" s="66"/>
      <c r="N383" s="66"/>
      <c r="O383" s="66"/>
      <c r="P383" s="64">
        <v>16000</v>
      </c>
      <c r="Q383" s="66"/>
      <c r="R383" s="66"/>
      <c r="S383" s="214"/>
      <c r="T383" s="219">
        <f t="shared" si="11"/>
        <v>16000</v>
      </c>
    </row>
    <row r="384" spans="1:20" ht="22.5">
      <c r="A384" s="17" t="s">
        <v>208</v>
      </c>
      <c r="B384" s="73">
        <v>1</v>
      </c>
      <c r="C384" s="67"/>
      <c r="D384" s="212">
        <v>12</v>
      </c>
      <c r="E384" s="218">
        <f t="shared" si="10"/>
        <v>33600</v>
      </c>
      <c r="F384" s="60" t="s">
        <v>166</v>
      </c>
      <c r="G384" s="66"/>
      <c r="H384" s="66"/>
      <c r="I384" s="66"/>
      <c r="J384" s="66"/>
      <c r="K384" s="66"/>
      <c r="L384" s="66"/>
      <c r="M384" s="66"/>
      <c r="N384" s="66"/>
      <c r="O384" s="66"/>
      <c r="P384" s="64">
        <v>2800</v>
      </c>
      <c r="Q384" s="66"/>
      <c r="R384" s="66"/>
      <c r="S384" s="214"/>
      <c r="T384" s="219">
        <f t="shared" si="11"/>
        <v>2800</v>
      </c>
    </row>
    <row r="385" spans="1:20" ht="22.5">
      <c r="A385" s="17" t="s">
        <v>208</v>
      </c>
      <c r="B385" s="73">
        <v>1</v>
      </c>
      <c r="C385" s="67"/>
      <c r="D385" s="212">
        <v>12</v>
      </c>
      <c r="E385" s="218">
        <f t="shared" si="10"/>
        <v>48000</v>
      </c>
      <c r="F385" s="60" t="s">
        <v>166</v>
      </c>
      <c r="G385" s="66"/>
      <c r="H385" s="66"/>
      <c r="I385" s="66"/>
      <c r="J385" s="66"/>
      <c r="K385" s="66"/>
      <c r="L385" s="66"/>
      <c r="M385" s="66"/>
      <c r="N385" s="66"/>
      <c r="O385" s="66"/>
      <c r="P385" s="64">
        <v>4000</v>
      </c>
      <c r="Q385" s="66"/>
      <c r="R385" s="66"/>
      <c r="S385" s="214"/>
      <c r="T385" s="219">
        <f t="shared" si="11"/>
        <v>4000</v>
      </c>
    </row>
    <row r="386" spans="1:20" ht="33.75">
      <c r="A386" s="17" t="s">
        <v>275</v>
      </c>
      <c r="B386" s="73">
        <v>1</v>
      </c>
      <c r="C386" s="67"/>
      <c r="D386" s="212">
        <v>12</v>
      </c>
      <c r="E386" s="218">
        <f t="shared" si="10"/>
        <v>54000</v>
      </c>
      <c r="F386" s="60" t="s">
        <v>166</v>
      </c>
      <c r="G386" s="66"/>
      <c r="H386" s="66"/>
      <c r="I386" s="66"/>
      <c r="J386" s="66"/>
      <c r="K386" s="66"/>
      <c r="L386" s="66"/>
      <c r="M386" s="66"/>
      <c r="N386" s="66"/>
      <c r="O386" s="66"/>
      <c r="P386" s="64">
        <v>4500</v>
      </c>
      <c r="Q386" s="66"/>
      <c r="R386" s="66"/>
      <c r="S386" s="214"/>
      <c r="T386" s="219">
        <f t="shared" si="11"/>
        <v>4500</v>
      </c>
    </row>
    <row r="387" spans="1:20" ht="33.75">
      <c r="A387" s="17" t="s">
        <v>275</v>
      </c>
      <c r="B387" s="73">
        <v>1</v>
      </c>
      <c r="C387" s="67"/>
      <c r="D387" s="212">
        <v>12</v>
      </c>
      <c r="E387" s="218">
        <f t="shared" si="10"/>
        <v>60000</v>
      </c>
      <c r="F387" s="60" t="s">
        <v>166</v>
      </c>
      <c r="G387" s="66"/>
      <c r="H387" s="66"/>
      <c r="I387" s="66"/>
      <c r="J387" s="66"/>
      <c r="K387" s="66"/>
      <c r="L387" s="66"/>
      <c r="M387" s="66"/>
      <c r="N387" s="66"/>
      <c r="O387" s="66"/>
      <c r="P387" s="64">
        <v>5000</v>
      </c>
      <c r="Q387" s="66"/>
      <c r="R387" s="66"/>
      <c r="S387" s="214"/>
      <c r="T387" s="219">
        <f t="shared" si="11"/>
        <v>5000</v>
      </c>
    </row>
    <row r="388" spans="1:20" ht="22.5">
      <c r="A388" s="17" t="s">
        <v>208</v>
      </c>
      <c r="B388" s="73">
        <v>1</v>
      </c>
      <c r="C388" s="67"/>
      <c r="D388" s="212">
        <v>12</v>
      </c>
      <c r="E388" s="218">
        <f t="shared" si="10"/>
        <v>36000</v>
      </c>
      <c r="F388" s="60" t="s">
        <v>166</v>
      </c>
      <c r="G388" s="66"/>
      <c r="H388" s="66"/>
      <c r="I388" s="66"/>
      <c r="J388" s="66"/>
      <c r="K388" s="66"/>
      <c r="L388" s="66"/>
      <c r="M388" s="66"/>
      <c r="N388" s="66"/>
      <c r="O388" s="66"/>
      <c r="P388" s="64">
        <v>3000</v>
      </c>
      <c r="Q388" s="66"/>
      <c r="R388" s="66"/>
      <c r="S388" s="214"/>
      <c r="T388" s="219">
        <f t="shared" si="11"/>
        <v>3000</v>
      </c>
    </row>
    <row r="389" spans="1:20" ht="22.5">
      <c r="A389" s="17" t="s">
        <v>208</v>
      </c>
      <c r="B389" s="73">
        <v>1</v>
      </c>
      <c r="C389" s="67"/>
      <c r="D389" s="212">
        <v>12</v>
      </c>
      <c r="E389" s="218">
        <f t="shared" si="10"/>
        <v>36000</v>
      </c>
      <c r="F389" s="60" t="s">
        <v>166</v>
      </c>
      <c r="G389" s="66"/>
      <c r="H389" s="66"/>
      <c r="I389" s="66"/>
      <c r="J389" s="66"/>
      <c r="K389" s="66"/>
      <c r="L389" s="66"/>
      <c r="M389" s="66"/>
      <c r="N389" s="66"/>
      <c r="O389" s="66"/>
      <c r="P389" s="64">
        <v>3000</v>
      </c>
      <c r="Q389" s="66"/>
      <c r="R389" s="66"/>
      <c r="S389" s="214"/>
      <c r="T389" s="219">
        <f t="shared" si="11"/>
        <v>3000</v>
      </c>
    </row>
    <row r="390" spans="1:20" ht="22.5">
      <c r="A390" s="17" t="s">
        <v>208</v>
      </c>
      <c r="B390" s="73">
        <v>1</v>
      </c>
      <c r="C390" s="67"/>
      <c r="D390" s="212">
        <v>12</v>
      </c>
      <c r="E390" s="218">
        <f t="shared" si="10"/>
        <v>42000</v>
      </c>
      <c r="F390" s="60" t="s">
        <v>166</v>
      </c>
      <c r="G390" s="66"/>
      <c r="H390" s="66"/>
      <c r="I390" s="66"/>
      <c r="J390" s="66"/>
      <c r="K390" s="66"/>
      <c r="L390" s="66"/>
      <c r="M390" s="66"/>
      <c r="N390" s="66"/>
      <c r="O390" s="66"/>
      <c r="P390" s="64">
        <v>3500</v>
      </c>
      <c r="Q390" s="66"/>
      <c r="R390" s="66"/>
      <c r="S390" s="214"/>
      <c r="T390" s="219">
        <f t="shared" si="11"/>
        <v>3500</v>
      </c>
    </row>
    <row r="391" spans="1:20" ht="22.5">
      <c r="A391" s="17" t="s">
        <v>208</v>
      </c>
      <c r="B391" s="73">
        <v>1</v>
      </c>
      <c r="C391" s="67"/>
      <c r="D391" s="212">
        <v>12</v>
      </c>
      <c r="E391" s="218">
        <f t="shared" ref="E391:E454" si="12">T391*12</f>
        <v>42000</v>
      </c>
      <c r="F391" s="60" t="s">
        <v>166</v>
      </c>
      <c r="G391" s="66"/>
      <c r="H391" s="66"/>
      <c r="I391" s="66"/>
      <c r="J391" s="66"/>
      <c r="K391" s="66"/>
      <c r="L391" s="66"/>
      <c r="M391" s="66"/>
      <c r="N391" s="66"/>
      <c r="O391" s="66"/>
      <c r="P391" s="64">
        <v>3500</v>
      </c>
      <c r="Q391" s="66"/>
      <c r="R391" s="66"/>
      <c r="S391" s="214"/>
      <c r="T391" s="219">
        <f t="shared" si="11"/>
        <v>3500</v>
      </c>
    </row>
    <row r="392" spans="1:20" ht="33.75">
      <c r="A392" s="17" t="s">
        <v>210</v>
      </c>
      <c r="B392" s="73">
        <v>1</v>
      </c>
      <c r="C392" s="67"/>
      <c r="D392" s="212">
        <v>12</v>
      </c>
      <c r="E392" s="218">
        <f t="shared" si="12"/>
        <v>48000</v>
      </c>
      <c r="F392" s="60" t="s">
        <v>166</v>
      </c>
      <c r="G392" s="66"/>
      <c r="H392" s="66"/>
      <c r="I392" s="66"/>
      <c r="J392" s="66"/>
      <c r="K392" s="66"/>
      <c r="L392" s="66"/>
      <c r="M392" s="66"/>
      <c r="N392" s="66"/>
      <c r="O392" s="66"/>
      <c r="P392" s="64">
        <v>4000</v>
      </c>
      <c r="Q392" s="66"/>
      <c r="R392" s="66"/>
      <c r="S392" s="214"/>
      <c r="T392" s="219">
        <f t="shared" ref="T392:T455" si="13">SUM(G392:S392)</f>
        <v>4000</v>
      </c>
    </row>
    <row r="393" spans="1:20" ht="33.75">
      <c r="A393" s="17" t="s">
        <v>210</v>
      </c>
      <c r="B393" s="73">
        <v>1</v>
      </c>
      <c r="C393" s="67"/>
      <c r="D393" s="212">
        <v>12</v>
      </c>
      <c r="E393" s="218">
        <f t="shared" si="12"/>
        <v>54000</v>
      </c>
      <c r="F393" s="60" t="s">
        <v>166</v>
      </c>
      <c r="G393" s="66"/>
      <c r="H393" s="66"/>
      <c r="I393" s="66"/>
      <c r="J393" s="66"/>
      <c r="K393" s="66"/>
      <c r="L393" s="66"/>
      <c r="M393" s="66"/>
      <c r="N393" s="66"/>
      <c r="O393" s="66"/>
      <c r="P393" s="64">
        <v>4500</v>
      </c>
      <c r="Q393" s="66"/>
      <c r="R393" s="66"/>
      <c r="S393" s="214"/>
      <c r="T393" s="219">
        <f t="shared" si="13"/>
        <v>4500</v>
      </c>
    </row>
    <row r="394" spans="1:20" ht="22.5">
      <c r="A394" s="17" t="s">
        <v>208</v>
      </c>
      <c r="B394" s="73">
        <v>1</v>
      </c>
      <c r="C394" s="67"/>
      <c r="D394" s="212">
        <v>12</v>
      </c>
      <c r="E394" s="218">
        <f t="shared" si="12"/>
        <v>36000</v>
      </c>
      <c r="F394" s="60" t="s">
        <v>166</v>
      </c>
      <c r="G394" s="66"/>
      <c r="H394" s="66"/>
      <c r="I394" s="66"/>
      <c r="J394" s="66"/>
      <c r="K394" s="66"/>
      <c r="L394" s="66"/>
      <c r="M394" s="66"/>
      <c r="N394" s="66"/>
      <c r="O394" s="66"/>
      <c r="P394" s="64">
        <v>3000</v>
      </c>
      <c r="Q394" s="66"/>
      <c r="R394" s="66"/>
      <c r="S394" s="214"/>
      <c r="T394" s="219">
        <f t="shared" si="13"/>
        <v>3000</v>
      </c>
    </row>
    <row r="395" spans="1:20" ht="33.75">
      <c r="A395" s="17" t="s">
        <v>210</v>
      </c>
      <c r="B395" s="73">
        <v>1</v>
      </c>
      <c r="C395" s="67"/>
      <c r="D395" s="212">
        <v>12</v>
      </c>
      <c r="E395" s="218">
        <f t="shared" si="12"/>
        <v>54000</v>
      </c>
      <c r="F395" s="60" t="s">
        <v>166</v>
      </c>
      <c r="G395" s="66"/>
      <c r="H395" s="66"/>
      <c r="I395" s="66"/>
      <c r="J395" s="66"/>
      <c r="K395" s="66"/>
      <c r="L395" s="66"/>
      <c r="M395" s="66"/>
      <c r="N395" s="66"/>
      <c r="O395" s="66"/>
      <c r="P395" s="64">
        <v>4500</v>
      </c>
      <c r="Q395" s="66"/>
      <c r="R395" s="66"/>
      <c r="S395" s="214"/>
      <c r="T395" s="219">
        <f t="shared" si="13"/>
        <v>4500</v>
      </c>
    </row>
    <row r="396" spans="1:20" ht="33.75">
      <c r="A396" s="17" t="s">
        <v>210</v>
      </c>
      <c r="B396" s="73">
        <v>1</v>
      </c>
      <c r="C396" s="67"/>
      <c r="D396" s="212">
        <v>12</v>
      </c>
      <c r="E396" s="218">
        <f t="shared" si="12"/>
        <v>54000</v>
      </c>
      <c r="F396" s="60" t="s">
        <v>166</v>
      </c>
      <c r="G396" s="66"/>
      <c r="H396" s="66"/>
      <c r="I396" s="66"/>
      <c r="J396" s="66"/>
      <c r="K396" s="66"/>
      <c r="L396" s="66"/>
      <c r="M396" s="66"/>
      <c r="N396" s="66"/>
      <c r="O396" s="66"/>
      <c r="P396" s="64">
        <v>4500</v>
      </c>
      <c r="Q396" s="66"/>
      <c r="R396" s="66"/>
      <c r="S396" s="214"/>
      <c r="T396" s="219">
        <f t="shared" si="13"/>
        <v>4500</v>
      </c>
    </row>
    <row r="397" spans="1:20" ht="22.5">
      <c r="A397" s="17" t="s">
        <v>208</v>
      </c>
      <c r="B397" s="73">
        <v>1</v>
      </c>
      <c r="C397" s="67"/>
      <c r="D397" s="212">
        <v>12</v>
      </c>
      <c r="E397" s="218">
        <f t="shared" si="12"/>
        <v>42000</v>
      </c>
      <c r="F397" s="60" t="s">
        <v>166</v>
      </c>
      <c r="G397" s="66"/>
      <c r="H397" s="66"/>
      <c r="I397" s="66"/>
      <c r="J397" s="66"/>
      <c r="K397" s="66"/>
      <c r="L397" s="66"/>
      <c r="M397" s="66"/>
      <c r="N397" s="66"/>
      <c r="O397" s="66"/>
      <c r="P397" s="64">
        <v>3500</v>
      </c>
      <c r="Q397" s="66"/>
      <c r="R397" s="66"/>
      <c r="S397" s="214"/>
      <c r="T397" s="219">
        <f t="shared" si="13"/>
        <v>3500</v>
      </c>
    </row>
    <row r="398" spans="1:20" ht="22.5">
      <c r="A398" s="17" t="s">
        <v>208</v>
      </c>
      <c r="B398" s="73">
        <v>1</v>
      </c>
      <c r="C398" s="67"/>
      <c r="D398" s="212">
        <v>12</v>
      </c>
      <c r="E398" s="218">
        <f t="shared" si="12"/>
        <v>42000</v>
      </c>
      <c r="F398" s="60" t="s">
        <v>166</v>
      </c>
      <c r="G398" s="66"/>
      <c r="H398" s="66"/>
      <c r="I398" s="66"/>
      <c r="J398" s="66"/>
      <c r="K398" s="66"/>
      <c r="L398" s="66"/>
      <c r="M398" s="66"/>
      <c r="N398" s="66"/>
      <c r="O398" s="66"/>
      <c r="P398" s="64">
        <v>3500</v>
      </c>
      <c r="Q398" s="66"/>
      <c r="R398" s="66"/>
      <c r="S398" s="214"/>
      <c r="T398" s="219">
        <f t="shared" si="13"/>
        <v>3500</v>
      </c>
    </row>
    <row r="399" spans="1:20" ht="22.5">
      <c r="A399" s="17" t="s">
        <v>208</v>
      </c>
      <c r="B399" s="73">
        <v>1</v>
      </c>
      <c r="C399" s="67"/>
      <c r="D399" s="212">
        <v>12</v>
      </c>
      <c r="E399" s="218">
        <f t="shared" si="12"/>
        <v>36000</v>
      </c>
      <c r="F399" s="60" t="s">
        <v>166</v>
      </c>
      <c r="G399" s="66"/>
      <c r="H399" s="66"/>
      <c r="I399" s="66"/>
      <c r="J399" s="66"/>
      <c r="K399" s="66"/>
      <c r="L399" s="66"/>
      <c r="M399" s="66"/>
      <c r="N399" s="66"/>
      <c r="O399" s="66"/>
      <c r="P399" s="64">
        <v>3000</v>
      </c>
      <c r="Q399" s="66"/>
      <c r="R399" s="66"/>
      <c r="S399" s="214"/>
      <c r="T399" s="219">
        <f t="shared" si="13"/>
        <v>3000</v>
      </c>
    </row>
    <row r="400" spans="1:20" ht="45">
      <c r="A400" s="17" t="s">
        <v>282</v>
      </c>
      <c r="B400" s="73">
        <v>1</v>
      </c>
      <c r="C400" s="67"/>
      <c r="D400" s="212">
        <v>12</v>
      </c>
      <c r="E400" s="218">
        <f t="shared" si="12"/>
        <v>60000</v>
      </c>
      <c r="F400" s="60" t="s">
        <v>166</v>
      </c>
      <c r="G400" s="66"/>
      <c r="H400" s="66"/>
      <c r="I400" s="66"/>
      <c r="J400" s="66"/>
      <c r="K400" s="66"/>
      <c r="L400" s="66"/>
      <c r="M400" s="66"/>
      <c r="N400" s="66"/>
      <c r="O400" s="66"/>
      <c r="P400" s="64">
        <v>5000</v>
      </c>
      <c r="Q400" s="66"/>
      <c r="R400" s="66"/>
      <c r="S400" s="214"/>
      <c r="T400" s="219">
        <f t="shared" si="13"/>
        <v>5000</v>
      </c>
    </row>
    <row r="401" spans="1:20" ht="45">
      <c r="A401" s="17" t="s">
        <v>282</v>
      </c>
      <c r="B401" s="73">
        <v>1</v>
      </c>
      <c r="C401" s="67"/>
      <c r="D401" s="212">
        <v>12</v>
      </c>
      <c r="E401" s="218">
        <f t="shared" si="12"/>
        <v>60000</v>
      </c>
      <c r="F401" s="60" t="s">
        <v>166</v>
      </c>
      <c r="G401" s="66"/>
      <c r="H401" s="66"/>
      <c r="I401" s="66"/>
      <c r="J401" s="66"/>
      <c r="K401" s="66"/>
      <c r="L401" s="66"/>
      <c r="M401" s="66"/>
      <c r="N401" s="66"/>
      <c r="O401" s="66"/>
      <c r="P401" s="64">
        <v>5000</v>
      </c>
      <c r="Q401" s="66"/>
      <c r="R401" s="66"/>
      <c r="S401" s="214"/>
      <c r="T401" s="219">
        <f t="shared" si="13"/>
        <v>5000</v>
      </c>
    </row>
    <row r="402" spans="1:20" ht="33.75">
      <c r="A402" s="17" t="s">
        <v>283</v>
      </c>
      <c r="B402" s="73">
        <v>1</v>
      </c>
      <c r="C402" s="67"/>
      <c r="D402" s="212">
        <v>12</v>
      </c>
      <c r="E402" s="218">
        <f t="shared" si="12"/>
        <v>48000</v>
      </c>
      <c r="F402" s="60" t="s">
        <v>166</v>
      </c>
      <c r="G402" s="66"/>
      <c r="H402" s="66"/>
      <c r="I402" s="66"/>
      <c r="J402" s="66"/>
      <c r="K402" s="66"/>
      <c r="L402" s="66"/>
      <c r="M402" s="66"/>
      <c r="N402" s="66"/>
      <c r="O402" s="66"/>
      <c r="P402" s="64">
        <v>4000</v>
      </c>
      <c r="Q402" s="66"/>
      <c r="R402" s="66"/>
      <c r="S402" s="214"/>
      <c r="T402" s="219">
        <f t="shared" si="13"/>
        <v>4000</v>
      </c>
    </row>
    <row r="403" spans="1:20" ht="33.75">
      <c r="A403" s="17" t="s">
        <v>283</v>
      </c>
      <c r="B403" s="73">
        <v>1</v>
      </c>
      <c r="C403" s="67"/>
      <c r="D403" s="212">
        <v>12</v>
      </c>
      <c r="E403" s="218">
        <f t="shared" si="12"/>
        <v>48000</v>
      </c>
      <c r="F403" s="60" t="s">
        <v>166</v>
      </c>
      <c r="G403" s="66"/>
      <c r="H403" s="66"/>
      <c r="I403" s="66"/>
      <c r="J403" s="66"/>
      <c r="K403" s="66"/>
      <c r="L403" s="66"/>
      <c r="M403" s="66"/>
      <c r="N403" s="66"/>
      <c r="O403" s="66"/>
      <c r="P403" s="64">
        <v>4000</v>
      </c>
      <c r="Q403" s="66"/>
      <c r="R403" s="66"/>
      <c r="S403" s="214"/>
      <c r="T403" s="219">
        <f t="shared" si="13"/>
        <v>4000</v>
      </c>
    </row>
    <row r="404" spans="1:20" ht="22.5">
      <c r="A404" s="17" t="s">
        <v>284</v>
      </c>
      <c r="B404" s="73">
        <v>1</v>
      </c>
      <c r="C404" s="67"/>
      <c r="D404" s="212">
        <v>12</v>
      </c>
      <c r="E404" s="218">
        <f t="shared" si="12"/>
        <v>60000</v>
      </c>
      <c r="F404" s="60" t="s">
        <v>166</v>
      </c>
      <c r="G404" s="66"/>
      <c r="H404" s="66"/>
      <c r="I404" s="66"/>
      <c r="J404" s="66"/>
      <c r="K404" s="66"/>
      <c r="L404" s="66"/>
      <c r="M404" s="66"/>
      <c r="N404" s="66"/>
      <c r="O404" s="66"/>
      <c r="P404" s="64">
        <v>5000</v>
      </c>
      <c r="Q404" s="66"/>
      <c r="R404" s="66"/>
      <c r="S404" s="214"/>
      <c r="T404" s="219">
        <f t="shared" si="13"/>
        <v>5000</v>
      </c>
    </row>
    <row r="405" spans="1:20" ht="33.75">
      <c r="A405" s="17" t="s">
        <v>215</v>
      </c>
      <c r="B405" s="73">
        <v>1</v>
      </c>
      <c r="C405" s="67"/>
      <c r="D405" s="212">
        <v>12</v>
      </c>
      <c r="E405" s="218">
        <f t="shared" si="12"/>
        <v>48000</v>
      </c>
      <c r="F405" s="60" t="s">
        <v>166</v>
      </c>
      <c r="G405" s="66"/>
      <c r="H405" s="66"/>
      <c r="I405" s="66"/>
      <c r="J405" s="66"/>
      <c r="K405" s="66"/>
      <c r="L405" s="66"/>
      <c r="M405" s="66"/>
      <c r="N405" s="66"/>
      <c r="O405" s="66"/>
      <c r="P405" s="64">
        <v>4000</v>
      </c>
      <c r="Q405" s="66"/>
      <c r="R405" s="66"/>
      <c r="S405" s="214"/>
      <c r="T405" s="219">
        <f t="shared" si="13"/>
        <v>4000</v>
      </c>
    </row>
    <row r="406" spans="1:20" ht="33.75">
      <c r="A406" s="17" t="s">
        <v>215</v>
      </c>
      <c r="B406" s="73">
        <v>1</v>
      </c>
      <c r="C406" s="67"/>
      <c r="D406" s="212">
        <v>12</v>
      </c>
      <c r="E406" s="218">
        <f t="shared" si="12"/>
        <v>48000</v>
      </c>
      <c r="F406" s="60" t="s">
        <v>166</v>
      </c>
      <c r="G406" s="66"/>
      <c r="H406" s="66"/>
      <c r="I406" s="66"/>
      <c r="J406" s="66"/>
      <c r="K406" s="66"/>
      <c r="L406" s="66"/>
      <c r="M406" s="66"/>
      <c r="N406" s="66"/>
      <c r="O406" s="66"/>
      <c r="P406" s="64">
        <v>4000</v>
      </c>
      <c r="Q406" s="66"/>
      <c r="R406" s="66"/>
      <c r="S406" s="214"/>
      <c r="T406" s="219">
        <f t="shared" si="13"/>
        <v>4000</v>
      </c>
    </row>
    <row r="407" spans="1:20" ht="33.75">
      <c r="A407" s="17" t="s">
        <v>215</v>
      </c>
      <c r="B407" s="73">
        <v>1</v>
      </c>
      <c r="C407" s="67"/>
      <c r="D407" s="212">
        <v>12</v>
      </c>
      <c r="E407" s="218">
        <f t="shared" si="12"/>
        <v>48000</v>
      </c>
      <c r="F407" s="60" t="s">
        <v>166</v>
      </c>
      <c r="G407" s="66"/>
      <c r="H407" s="66"/>
      <c r="I407" s="66"/>
      <c r="J407" s="66"/>
      <c r="K407" s="66"/>
      <c r="L407" s="66"/>
      <c r="M407" s="66"/>
      <c r="N407" s="66"/>
      <c r="O407" s="66"/>
      <c r="P407" s="64">
        <v>4000</v>
      </c>
      <c r="Q407" s="66"/>
      <c r="R407" s="66"/>
      <c r="S407" s="214"/>
      <c r="T407" s="219">
        <f t="shared" si="13"/>
        <v>4000</v>
      </c>
    </row>
    <row r="408" spans="1:20" ht="33.75">
      <c r="A408" s="17" t="s">
        <v>215</v>
      </c>
      <c r="B408" s="73">
        <v>1</v>
      </c>
      <c r="C408" s="67"/>
      <c r="D408" s="212">
        <v>12</v>
      </c>
      <c r="E408" s="218">
        <f t="shared" si="12"/>
        <v>48000</v>
      </c>
      <c r="F408" s="60" t="s">
        <v>166</v>
      </c>
      <c r="G408" s="66"/>
      <c r="H408" s="66"/>
      <c r="I408" s="66"/>
      <c r="J408" s="66"/>
      <c r="K408" s="66"/>
      <c r="L408" s="66"/>
      <c r="M408" s="66"/>
      <c r="N408" s="66"/>
      <c r="O408" s="66"/>
      <c r="P408" s="64">
        <v>4000</v>
      </c>
      <c r="Q408" s="66"/>
      <c r="R408" s="66"/>
      <c r="S408" s="214"/>
      <c r="T408" s="219">
        <f t="shared" si="13"/>
        <v>4000</v>
      </c>
    </row>
    <row r="409" spans="1:20" ht="33.75">
      <c r="A409" s="17" t="s">
        <v>215</v>
      </c>
      <c r="B409" s="73">
        <v>1</v>
      </c>
      <c r="C409" s="67"/>
      <c r="D409" s="212">
        <v>12</v>
      </c>
      <c r="E409" s="218">
        <f t="shared" si="12"/>
        <v>48000</v>
      </c>
      <c r="F409" s="60" t="s">
        <v>166</v>
      </c>
      <c r="G409" s="66"/>
      <c r="H409" s="66"/>
      <c r="I409" s="66"/>
      <c r="J409" s="66"/>
      <c r="K409" s="66"/>
      <c r="L409" s="66"/>
      <c r="M409" s="66"/>
      <c r="N409" s="66"/>
      <c r="O409" s="66"/>
      <c r="P409" s="64">
        <v>4000</v>
      </c>
      <c r="Q409" s="66"/>
      <c r="R409" s="66"/>
      <c r="S409" s="214"/>
      <c r="T409" s="219">
        <f t="shared" si="13"/>
        <v>4000</v>
      </c>
    </row>
    <row r="410" spans="1:20" ht="33.75">
      <c r="A410" s="17" t="s">
        <v>215</v>
      </c>
      <c r="B410" s="73">
        <v>1</v>
      </c>
      <c r="C410" s="67"/>
      <c r="D410" s="212">
        <v>12</v>
      </c>
      <c r="E410" s="218">
        <f t="shared" si="12"/>
        <v>48000</v>
      </c>
      <c r="F410" s="60" t="s">
        <v>166</v>
      </c>
      <c r="G410" s="66"/>
      <c r="H410" s="66"/>
      <c r="I410" s="66"/>
      <c r="J410" s="66"/>
      <c r="K410" s="66"/>
      <c r="L410" s="66"/>
      <c r="M410" s="66"/>
      <c r="N410" s="66"/>
      <c r="O410" s="66"/>
      <c r="P410" s="64">
        <v>4000</v>
      </c>
      <c r="Q410" s="66"/>
      <c r="R410" s="66"/>
      <c r="S410" s="214"/>
      <c r="T410" s="219">
        <f t="shared" si="13"/>
        <v>4000</v>
      </c>
    </row>
    <row r="411" spans="1:20" ht="33.75">
      <c r="A411" s="17" t="s">
        <v>215</v>
      </c>
      <c r="B411" s="73">
        <v>1</v>
      </c>
      <c r="C411" s="67"/>
      <c r="D411" s="212">
        <v>12</v>
      </c>
      <c r="E411" s="218">
        <f t="shared" si="12"/>
        <v>48000</v>
      </c>
      <c r="F411" s="60" t="s">
        <v>166</v>
      </c>
      <c r="G411" s="66"/>
      <c r="H411" s="66"/>
      <c r="I411" s="66"/>
      <c r="J411" s="66"/>
      <c r="K411" s="66"/>
      <c r="L411" s="66"/>
      <c r="M411" s="66"/>
      <c r="N411" s="66"/>
      <c r="O411" s="66"/>
      <c r="P411" s="64">
        <v>4000</v>
      </c>
      <c r="Q411" s="66"/>
      <c r="R411" s="66"/>
      <c r="S411" s="214"/>
      <c r="T411" s="219">
        <f t="shared" si="13"/>
        <v>4000</v>
      </c>
    </row>
    <row r="412" spans="1:20" ht="33.75">
      <c r="A412" s="17" t="s">
        <v>215</v>
      </c>
      <c r="B412" s="73">
        <v>1</v>
      </c>
      <c r="C412" s="67"/>
      <c r="D412" s="212">
        <v>12</v>
      </c>
      <c r="E412" s="218">
        <f t="shared" si="12"/>
        <v>48000</v>
      </c>
      <c r="F412" s="60" t="s">
        <v>166</v>
      </c>
      <c r="G412" s="66"/>
      <c r="H412" s="66"/>
      <c r="I412" s="66"/>
      <c r="J412" s="66"/>
      <c r="K412" s="66"/>
      <c r="L412" s="66"/>
      <c r="M412" s="66"/>
      <c r="N412" s="66"/>
      <c r="O412" s="66"/>
      <c r="P412" s="64">
        <v>4000</v>
      </c>
      <c r="Q412" s="66"/>
      <c r="R412" s="66"/>
      <c r="S412" s="214"/>
      <c r="T412" s="219">
        <f t="shared" si="13"/>
        <v>4000</v>
      </c>
    </row>
    <row r="413" spans="1:20" ht="33.75">
      <c r="A413" s="17" t="s">
        <v>215</v>
      </c>
      <c r="B413" s="73">
        <v>1</v>
      </c>
      <c r="C413" s="67"/>
      <c r="D413" s="212">
        <v>12</v>
      </c>
      <c r="E413" s="218">
        <f t="shared" si="12"/>
        <v>48000</v>
      </c>
      <c r="F413" s="60" t="s">
        <v>166</v>
      </c>
      <c r="G413" s="66"/>
      <c r="H413" s="66"/>
      <c r="I413" s="66"/>
      <c r="J413" s="66"/>
      <c r="K413" s="66"/>
      <c r="L413" s="66"/>
      <c r="M413" s="66"/>
      <c r="N413" s="66"/>
      <c r="O413" s="66"/>
      <c r="P413" s="64">
        <v>4000</v>
      </c>
      <c r="Q413" s="66"/>
      <c r="R413" s="66"/>
      <c r="S413" s="214"/>
      <c r="T413" s="219">
        <f t="shared" si="13"/>
        <v>4000</v>
      </c>
    </row>
    <row r="414" spans="1:20" ht="22.5">
      <c r="A414" s="17" t="s">
        <v>216</v>
      </c>
      <c r="B414" s="73">
        <v>1</v>
      </c>
      <c r="C414" s="67"/>
      <c r="D414" s="212">
        <v>12</v>
      </c>
      <c r="E414" s="218">
        <f t="shared" si="12"/>
        <v>42000</v>
      </c>
      <c r="F414" s="60" t="s">
        <v>166</v>
      </c>
      <c r="G414" s="66"/>
      <c r="H414" s="66"/>
      <c r="I414" s="66"/>
      <c r="J414" s="66"/>
      <c r="K414" s="66"/>
      <c r="L414" s="66"/>
      <c r="M414" s="66"/>
      <c r="N414" s="66"/>
      <c r="O414" s="66"/>
      <c r="P414" s="64">
        <v>3500</v>
      </c>
      <c r="Q414" s="66"/>
      <c r="R414" s="66"/>
      <c r="S414" s="214"/>
      <c r="T414" s="219">
        <f t="shared" si="13"/>
        <v>3500</v>
      </c>
    </row>
    <row r="415" spans="1:20" ht="22.5">
      <c r="A415" s="17" t="s">
        <v>216</v>
      </c>
      <c r="B415" s="73">
        <v>1</v>
      </c>
      <c r="C415" s="67"/>
      <c r="D415" s="212">
        <v>12</v>
      </c>
      <c r="E415" s="218">
        <f t="shared" si="12"/>
        <v>42000</v>
      </c>
      <c r="F415" s="60" t="s">
        <v>166</v>
      </c>
      <c r="G415" s="66"/>
      <c r="H415" s="66"/>
      <c r="I415" s="66"/>
      <c r="J415" s="66"/>
      <c r="K415" s="66"/>
      <c r="L415" s="66"/>
      <c r="M415" s="66"/>
      <c r="N415" s="66"/>
      <c r="O415" s="66"/>
      <c r="P415" s="64">
        <v>3500</v>
      </c>
      <c r="Q415" s="66"/>
      <c r="R415" s="66"/>
      <c r="S415" s="214"/>
      <c r="T415" s="219">
        <f t="shared" si="13"/>
        <v>3500</v>
      </c>
    </row>
    <row r="416" spans="1:20" ht="22.5">
      <c r="A416" s="17" t="s">
        <v>216</v>
      </c>
      <c r="B416" s="73">
        <v>1</v>
      </c>
      <c r="C416" s="67"/>
      <c r="D416" s="212">
        <v>12</v>
      </c>
      <c r="E416" s="218">
        <f t="shared" si="12"/>
        <v>42000</v>
      </c>
      <c r="F416" s="60" t="s">
        <v>166</v>
      </c>
      <c r="G416" s="66"/>
      <c r="H416" s="66"/>
      <c r="I416" s="66"/>
      <c r="J416" s="66"/>
      <c r="K416" s="66"/>
      <c r="L416" s="66"/>
      <c r="M416" s="66"/>
      <c r="N416" s="66"/>
      <c r="O416" s="66"/>
      <c r="P416" s="64">
        <v>3500</v>
      </c>
      <c r="Q416" s="66"/>
      <c r="R416" s="66"/>
      <c r="S416" s="214"/>
      <c r="T416" s="219">
        <f t="shared" si="13"/>
        <v>3500</v>
      </c>
    </row>
    <row r="417" spans="1:20" ht="22.5">
      <c r="A417" s="17" t="s">
        <v>216</v>
      </c>
      <c r="B417" s="73">
        <v>1</v>
      </c>
      <c r="C417" s="67"/>
      <c r="D417" s="212">
        <v>12</v>
      </c>
      <c r="E417" s="218">
        <f t="shared" si="12"/>
        <v>42000</v>
      </c>
      <c r="F417" s="60" t="s">
        <v>166</v>
      </c>
      <c r="G417" s="66"/>
      <c r="H417" s="66"/>
      <c r="I417" s="66"/>
      <c r="J417" s="66"/>
      <c r="K417" s="66"/>
      <c r="L417" s="66"/>
      <c r="M417" s="66"/>
      <c r="N417" s="66"/>
      <c r="O417" s="66"/>
      <c r="P417" s="64">
        <v>3500</v>
      </c>
      <c r="Q417" s="66"/>
      <c r="R417" s="66"/>
      <c r="S417" s="214"/>
      <c r="T417" s="219">
        <f t="shared" si="13"/>
        <v>3500</v>
      </c>
    </row>
    <row r="418" spans="1:20" ht="22.5">
      <c r="A418" s="17" t="s">
        <v>216</v>
      </c>
      <c r="B418" s="73">
        <v>1</v>
      </c>
      <c r="C418" s="67"/>
      <c r="D418" s="212">
        <v>12</v>
      </c>
      <c r="E418" s="218">
        <f t="shared" si="12"/>
        <v>42000</v>
      </c>
      <c r="F418" s="60" t="s">
        <v>166</v>
      </c>
      <c r="G418" s="66"/>
      <c r="H418" s="66"/>
      <c r="I418" s="66"/>
      <c r="J418" s="66"/>
      <c r="K418" s="66"/>
      <c r="L418" s="66"/>
      <c r="M418" s="66"/>
      <c r="N418" s="66"/>
      <c r="O418" s="66"/>
      <c r="P418" s="64">
        <v>3500</v>
      </c>
      <c r="Q418" s="66"/>
      <c r="R418" s="66"/>
      <c r="S418" s="214"/>
      <c r="T418" s="219">
        <f t="shared" si="13"/>
        <v>3500</v>
      </c>
    </row>
    <row r="419" spans="1:20" ht="22.5">
      <c r="A419" s="17" t="s">
        <v>216</v>
      </c>
      <c r="B419" s="73">
        <v>1</v>
      </c>
      <c r="C419" s="67"/>
      <c r="D419" s="212">
        <v>12</v>
      </c>
      <c r="E419" s="218">
        <f t="shared" si="12"/>
        <v>42000</v>
      </c>
      <c r="F419" s="60" t="s">
        <v>166</v>
      </c>
      <c r="G419" s="66"/>
      <c r="H419" s="66"/>
      <c r="I419" s="66"/>
      <c r="J419" s="66"/>
      <c r="K419" s="66"/>
      <c r="L419" s="66"/>
      <c r="M419" s="66"/>
      <c r="N419" s="66"/>
      <c r="O419" s="66"/>
      <c r="P419" s="64">
        <v>3500</v>
      </c>
      <c r="Q419" s="66"/>
      <c r="R419" s="66"/>
      <c r="S419" s="214"/>
      <c r="T419" s="219">
        <f t="shared" si="13"/>
        <v>3500</v>
      </c>
    </row>
    <row r="420" spans="1:20" ht="22.5">
      <c r="A420" s="17" t="s">
        <v>216</v>
      </c>
      <c r="B420" s="73">
        <v>1</v>
      </c>
      <c r="C420" s="67"/>
      <c r="D420" s="212">
        <v>12</v>
      </c>
      <c r="E420" s="218">
        <f t="shared" si="12"/>
        <v>42000</v>
      </c>
      <c r="F420" s="60" t="s">
        <v>166</v>
      </c>
      <c r="G420" s="66"/>
      <c r="H420" s="66"/>
      <c r="I420" s="66"/>
      <c r="J420" s="66"/>
      <c r="K420" s="66"/>
      <c r="L420" s="66"/>
      <c r="M420" s="66"/>
      <c r="N420" s="66"/>
      <c r="O420" s="66"/>
      <c r="P420" s="64">
        <v>3500</v>
      </c>
      <c r="Q420" s="66"/>
      <c r="R420" s="66"/>
      <c r="S420" s="214"/>
      <c r="T420" s="219">
        <f t="shared" si="13"/>
        <v>3500</v>
      </c>
    </row>
    <row r="421" spans="1:20" ht="22.5">
      <c r="A421" s="17" t="s">
        <v>216</v>
      </c>
      <c r="B421" s="73">
        <v>1</v>
      </c>
      <c r="C421" s="67"/>
      <c r="D421" s="212">
        <v>12</v>
      </c>
      <c r="E421" s="218">
        <f t="shared" si="12"/>
        <v>42000</v>
      </c>
      <c r="F421" s="60" t="s">
        <v>166</v>
      </c>
      <c r="G421" s="66"/>
      <c r="H421" s="66"/>
      <c r="I421" s="66"/>
      <c r="J421" s="66"/>
      <c r="K421" s="66"/>
      <c r="L421" s="66"/>
      <c r="M421" s="66"/>
      <c r="N421" s="66"/>
      <c r="O421" s="66"/>
      <c r="P421" s="64">
        <v>3500</v>
      </c>
      <c r="Q421" s="66"/>
      <c r="R421" s="66"/>
      <c r="S421" s="214"/>
      <c r="T421" s="219">
        <f t="shared" si="13"/>
        <v>3500</v>
      </c>
    </row>
    <row r="422" spans="1:20" ht="22.5">
      <c r="A422" s="17" t="s">
        <v>216</v>
      </c>
      <c r="B422" s="73">
        <v>1</v>
      </c>
      <c r="C422" s="67"/>
      <c r="D422" s="212">
        <v>12</v>
      </c>
      <c r="E422" s="218">
        <f t="shared" si="12"/>
        <v>42000</v>
      </c>
      <c r="F422" s="60" t="s">
        <v>166</v>
      </c>
      <c r="G422" s="66"/>
      <c r="H422" s="66"/>
      <c r="I422" s="66"/>
      <c r="J422" s="66"/>
      <c r="K422" s="66"/>
      <c r="L422" s="66"/>
      <c r="M422" s="66"/>
      <c r="N422" s="66"/>
      <c r="O422" s="66"/>
      <c r="P422" s="64">
        <v>3500</v>
      </c>
      <c r="Q422" s="66"/>
      <c r="R422" s="66"/>
      <c r="S422" s="214"/>
      <c r="T422" s="219">
        <f t="shared" si="13"/>
        <v>3500</v>
      </c>
    </row>
    <row r="423" spans="1:20" ht="22.5">
      <c r="A423" s="17" t="s">
        <v>216</v>
      </c>
      <c r="B423" s="73">
        <v>1</v>
      </c>
      <c r="C423" s="67"/>
      <c r="D423" s="212">
        <v>12</v>
      </c>
      <c r="E423" s="218">
        <f t="shared" si="12"/>
        <v>42000</v>
      </c>
      <c r="F423" s="60" t="s">
        <v>166</v>
      </c>
      <c r="G423" s="66"/>
      <c r="H423" s="66"/>
      <c r="I423" s="66"/>
      <c r="J423" s="66"/>
      <c r="K423" s="66"/>
      <c r="L423" s="66"/>
      <c r="M423" s="66"/>
      <c r="N423" s="66"/>
      <c r="O423" s="66"/>
      <c r="P423" s="64">
        <v>3500</v>
      </c>
      <c r="Q423" s="66"/>
      <c r="R423" s="66"/>
      <c r="S423" s="214"/>
      <c r="T423" s="219">
        <f t="shared" si="13"/>
        <v>3500</v>
      </c>
    </row>
    <row r="424" spans="1:20" ht="22.5">
      <c r="A424" s="17" t="s">
        <v>216</v>
      </c>
      <c r="B424" s="73">
        <v>1</v>
      </c>
      <c r="C424" s="67"/>
      <c r="D424" s="212">
        <v>12</v>
      </c>
      <c r="E424" s="218">
        <f t="shared" si="12"/>
        <v>42000</v>
      </c>
      <c r="F424" s="60" t="s">
        <v>166</v>
      </c>
      <c r="G424" s="66"/>
      <c r="H424" s="66"/>
      <c r="I424" s="66"/>
      <c r="J424" s="66"/>
      <c r="K424" s="66"/>
      <c r="L424" s="66"/>
      <c r="M424" s="66"/>
      <c r="N424" s="66"/>
      <c r="O424" s="66"/>
      <c r="P424" s="64">
        <v>3500</v>
      </c>
      <c r="Q424" s="66"/>
      <c r="R424" s="66"/>
      <c r="S424" s="214"/>
      <c r="T424" s="219">
        <f t="shared" si="13"/>
        <v>3500</v>
      </c>
    </row>
    <row r="425" spans="1:20" ht="22.5">
      <c r="A425" s="17" t="s">
        <v>216</v>
      </c>
      <c r="B425" s="73">
        <v>1</v>
      </c>
      <c r="C425" s="67"/>
      <c r="D425" s="212">
        <v>12</v>
      </c>
      <c r="E425" s="218">
        <f t="shared" si="12"/>
        <v>42000</v>
      </c>
      <c r="F425" s="60" t="s">
        <v>166</v>
      </c>
      <c r="G425" s="66"/>
      <c r="H425" s="66"/>
      <c r="I425" s="66"/>
      <c r="J425" s="66"/>
      <c r="K425" s="66"/>
      <c r="L425" s="66"/>
      <c r="M425" s="66"/>
      <c r="N425" s="66"/>
      <c r="O425" s="66"/>
      <c r="P425" s="64">
        <v>3500</v>
      </c>
      <c r="Q425" s="66"/>
      <c r="R425" s="66"/>
      <c r="S425" s="214"/>
      <c r="T425" s="219">
        <f t="shared" si="13"/>
        <v>3500</v>
      </c>
    </row>
    <row r="426" spans="1:20" ht="22.5">
      <c r="A426" s="17" t="s">
        <v>216</v>
      </c>
      <c r="B426" s="73">
        <v>1</v>
      </c>
      <c r="C426" s="67"/>
      <c r="D426" s="212">
        <v>12</v>
      </c>
      <c r="E426" s="218">
        <f t="shared" si="12"/>
        <v>42000</v>
      </c>
      <c r="F426" s="60" t="s">
        <v>166</v>
      </c>
      <c r="G426" s="66"/>
      <c r="H426" s="66"/>
      <c r="I426" s="66"/>
      <c r="J426" s="66"/>
      <c r="K426" s="66"/>
      <c r="L426" s="66"/>
      <c r="M426" s="66"/>
      <c r="N426" s="66"/>
      <c r="O426" s="66"/>
      <c r="P426" s="64">
        <v>3500</v>
      </c>
      <c r="Q426" s="66"/>
      <c r="R426" s="66"/>
      <c r="S426" s="214"/>
      <c r="T426" s="219">
        <f t="shared" si="13"/>
        <v>3500</v>
      </c>
    </row>
    <row r="427" spans="1:20" ht="22.5">
      <c r="A427" s="17" t="s">
        <v>216</v>
      </c>
      <c r="B427" s="73">
        <v>1</v>
      </c>
      <c r="C427" s="67"/>
      <c r="D427" s="212">
        <v>12</v>
      </c>
      <c r="E427" s="218">
        <f t="shared" si="12"/>
        <v>42000</v>
      </c>
      <c r="F427" s="60" t="s">
        <v>166</v>
      </c>
      <c r="G427" s="66"/>
      <c r="H427" s="66"/>
      <c r="I427" s="66"/>
      <c r="J427" s="66"/>
      <c r="K427" s="66"/>
      <c r="L427" s="66"/>
      <c r="M427" s="66"/>
      <c r="N427" s="66"/>
      <c r="O427" s="66"/>
      <c r="P427" s="64">
        <v>3500</v>
      </c>
      <c r="Q427" s="66"/>
      <c r="R427" s="66"/>
      <c r="S427" s="214"/>
      <c r="T427" s="219">
        <f t="shared" si="13"/>
        <v>3500</v>
      </c>
    </row>
    <row r="428" spans="1:20" ht="22.5">
      <c r="A428" s="17" t="s">
        <v>216</v>
      </c>
      <c r="B428" s="73">
        <v>1</v>
      </c>
      <c r="C428" s="67"/>
      <c r="D428" s="212">
        <v>12</v>
      </c>
      <c r="E428" s="218">
        <f t="shared" si="12"/>
        <v>42000</v>
      </c>
      <c r="F428" s="60" t="s">
        <v>166</v>
      </c>
      <c r="G428" s="66"/>
      <c r="H428" s="66"/>
      <c r="I428" s="66"/>
      <c r="J428" s="66"/>
      <c r="K428" s="66"/>
      <c r="L428" s="66"/>
      <c r="M428" s="66"/>
      <c r="N428" s="66"/>
      <c r="O428" s="66"/>
      <c r="P428" s="64">
        <v>3500</v>
      </c>
      <c r="Q428" s="66"/>
      <c r="R428" s="66"/>
      <c r="S428" s="214"/>
      <c r="T428" s="219">
        <f t="shared" si="13"/>
        <v>3500</v>
      </c>
    </row>
    <row r="429" spans="1:20" ht="22.5">
      <c r="A429" s="17" t="s">
        <v>216</v>
      </c>
      <c r="B429" s="73">
        <v>1</v>
      </c>
      <c r="C429" s="67"/>
      <c r="D429" s="212">
        <v>12</v>
      </c>
      <c r="E429" s="218">
        <f t="shared" si="12"/>
        <v>42000</v>
      </c>
      <c r="F429" s="60" t="s">
        <v>166</v>
      </c>
      <c r="G429" s="66"/>
      <c r="H429" s="66"/>
      <c r="I429" s="66"/>
      <c r="J429" s="66"/>
      <c r="K429" s="66"/>
      <c r="L429" s="66"/>
      <c r="M429" s="66"/>
      <c r="N429" s="66"/>
      <c r="O429" s="66"/>
      <c r="P429" s="64">
        <v>3500</v>
      </c>
      <c r="Q429" s="66"/>
      <c r="R429" s="66"/>
      <c r="S429" s="214"/>
      <c r="T429" s="219">
        <f t="shared" si="13"/>
        <v>3500</v>
      </c>
    </row>
    <row r="430" spans="1:20" ht="22.5">
      <c r="A430" s="17" t="s">
        <v>216</v>
      </c>
      <c r="B430" s="73">
        <v>1</v>
      </c>
      <c r="C430" s="67"/>
      <c r="D430" s="212">
        <v>12</v>
      </c>
      <c r="E430" s="218">
        <f t="shared" si="12"/>
        <v>42000</v>
      </c>
      <c r="F430" s="60" t="s">
        <v>166</v>
      </c>
      <c r="G430" s="66"/>
      <c r="H430" s="66"/>
      <c r="I430" s="66"/>
      <c r="J430" s="66"/>
      <c r="K430" s="66"/>
      <c r="L430" s="66"/>
      <c r="M430" s="66"/>
      <c r="N430" s="66"/>
      <c r="O430" s="66"/>
      <c r="P430" s="64">
        <v>3500</v>
      </c>
      <c r="Q430" s="66"/>
      <c r="R430" s="66"/>
      <c r="S430" s="214"/>
      <c r="T430" s="219">
        <f t="shared" si="13"/>
        <v>3500</v>
      </c>
    </row>
    <row r="431" spans="1:20" ht="22.5">
      <c r="A431" s="17" t="s">
        <v>216</v>
      </c>
      <c r="B431" s="73">
        <v>1</v>
      </c>
      <c r="C431" s="67"/>
      <c r="D431" s="212">
        <v>12</v>
      </c>
      <c r="E431" s="218">
        <f t="shared" si="12"/>
        <v>42000</v>
      </c>
      <c r="F431" s="60" t="s">
        <v>166</v>
      </c>
      <c r="G431" s="66"/>
      <c r="H431" s="66"/>
      <c r="I431" s="66"/>
      <c r="J431" s="66"/>
      <c r="K431" s="66"/>
      <c r="L431" s="66"/>
      <c r="M431" s="66"/>
      <c r="N431" s="66"/>
      <c r="O431" s="66"/>
      <c r="P431" s="64">
        <v>3500</v>
      </c>
      <c r="Q431" s="66"/>
      <c r="R431" s="66"/>
      <c r="S431" s="214"/>
      <c r="T431" s="219">
        <f t="shared" si="13"/>
        <v>3500</v>
      </c>
    </row>
    <row r="432" spans="1:20" ht="22.5">
      <c r="A432" s="17" t="s">
        <v>216</v>
      </c>
      <c r="B432" s="73">
        <v>1</v>
      </c>
      <c r="C432" s="67"/>
      <c r="D432" s="212">
        <v>12</v>
      </c>
      <c r="E432" s="218">
        <f t="shared" si="12"/>
        <v>42000</v>
      </c>
      <c r="F432" s="60" t="s">
        <v>166</v>
      </c>
      <c r="G432" s="66"/>
      <c r="H432" s="66"/>
      <c r="I432" s="66"/>
      <c r="J432" s="66"/>
      <c r="K432" s="66"/>
      <c r="L432" s="66"/>
      <c r="M432" s="66"/>
      <c r="N432" s="66"/>
      <c r="O432" s="66"/>
      <c r="P432" s="64">
        <v>3500</v>
      </c>
      <c r="Q432" s="66"/>
      <c r="R432" s="66"/>
      <c r="S432" s="214"/>
      <c r="T432" s="219">
        <f t="shared" si="13"/>
        <v>3500</v>
      </c>
    </row>
    <row r="433" spans="1:20" ht="22.5">
      <c r="A433" s="17" t="s">
        <v>216</v>
      </c>
      <c r="B433" s="73">
        <v>1</v>
      </c>
      <c r="C433" s="67"/>
      <c r="D433" s="212">
        <v>12</v>
      </c>
      <c r="E433" s="218">
        <f t="shared" si="12"/>
        <v>42000</v>
      </c>
      <c r="F433" s="60" t="s">
        <v>166</v>
      </c>
      <c r="G433" s="66"/>
      <c r="H433" s="66"/>
      <c r="I433" s="66"/>
      <c r="J433" s="66"/>
      <c r="K433" s="66"/>
      <c r="L433" s="66"/>
      <c r="M433" s="66"/>
      <c r="N433" s="66"/>
      <c r="O433" s="66"/>
      <c r="P433" s="64">
        <v>3500</v>
      </c>
      <c r="Q433" s="66"/>
      <c r="R433" s="66"/>
      <c r="S433" s="214"/>
      <c r="T433" s="219">
        <f t="shared" si="13"/>
        <v>3500</v>
      </c>
    </row>
    <row r="434" spans="1:20" ht="22.5">
      <c r="A434" s="17" t="s">
        <v>216</v>
      </c>
      <c r="B434" s="73">
        <v>1</v>
      </c>
      <c r="C434" s="67"/>
      <c r="D434" s="212">
        <v>12</v>
      </c>
      <c r="E434" s="218">
        <f t="shared" si="12"/>
        <v>42000</v>
      </c>
      <c r="F434" s="60" t="s">
        <v>166</v>
      </c>
      <c r="G434" s="66"/>
      <c r="H434" s="66"/>
      <c r="I434" s="66"/>
      <c r="J434" s="66"/>
      <c r="K434" s="66"/>
      <c r="L434" s="66"/>
      <c r="M434" s="66"/>
      <c r="N434" s="66"/>
      <c r="O434" s="66"/>
      <c r="P434" s="64">
        <v>3500</v>
      </c>
      <c r="Q434" s="66"/>
      <c r="R434" s="66"/>
      <c r="S434" s="214"/>
      <c r="T434" s="219">
        <f t="shared" si="13"/>
        <v>3500</v>
      </c>
    </row>
    <row r="435" spans="1:20" ht="22.5">
      <c r="A435" s="17" t="s">
        <v>216</v>
      </c>
      <c r="B435" s="73">
        <v>1</v>
      </c>
      <c r="C435" s="67"/>
      <c r="D435" s="212">
        <v>12</v>
      </c>
      <c r="E435" s="218">
        <f t="shared" si="12"/>
        <v>42000</v>
      </c>
      <c r="F435" s="60" t="s">
        <v>166</v>
      </c>
      <c r="G435" s="66"/>
      <c r="H435" s="66"/>
      <c r="I435" s="66"/>
      <c r="J435" s="66"/>
      <c r="K435" s="66"/>
      <c r="L435" s="66"/>
      <c r="M435" s="66"/>
      <c r="N435" s="66"/>
      <c r="O435" s="66"/>
      <c r="P435" s="64">
        <v>3500</v>
      </c>
      <c r="Q435" s="66"/>
      <c r="R435" s="66"/>
      <c r="S435" s="214"/>
      <c r="T435" s="219">
        <f t="shared" si="13"/>
        <v>3500</v>
      </c>
    </row>
    <row r="436" spans="1:20" ht="22.5">
      <c r="A436" s="17" t="s">
        <v>216</v>
      </c>
      <c r="B436" s="73">
        <v>1</v>
      </c>
      <c r="C436" s="67"/>
      <c r="D436" s="212">
        <v>12</v>
      </c>
      <c r="E436" s="218">
        <f t="shared" si="12"/>
        <v>42000</v>
      </c>
      <c r="F436" s="60" t="s">
        <v>166</v>
      </c>
      <c r="G436" s="66"/>
      <c r="H436" s="66"/>
      <c r="I436" s="66"/>
      <c r="J436" s="66"/>
      <c r="K436" s="66"/>
      <c r="L436" s="66"/>
      <c r="M436" s="66"/>
      <c r="N436" s="66"/>
      <c r="O436" s="66"/>
      <c r="P436" s="64">
        <v>3500</v>
      </c>
      <c r="Q436" s="66"/>
      <c r="R436" s="66"/>
      <c r="S436" s="214"/>
      <c r="T436" s="219">
        <f t="shared" si="13"/>
        <v>3500</v>
      </c>
    </row>
    <row r="437" spans="1:20" ht="22.5">
      <c r="A437" s="17" t="s">
        <v>216</v>
      </c>
      <c r="B437" s="73">
        <v>1</v>
      </c>
      <c r="C437" s="67"/>
      <c r="D437" s="212">
        <v>12</v>
      </c>
      <c r="E437" s="218">
        <f t="shared" si="12"/>
        <v>42000</v>
      </c>
      <c r="F437" s="60" t="s">
        <v>166</v>
      </c>
      <c r="G437" s="66"/>
      <c r="H437" s="66"/>
      <c r="I437" s="66"/>
      <c r="J437" s="66"/>
      <c r="K437" s="66"/>
      <c r="L437" s="66"/>
      <c r="M437" s="66"/>
      <c r="N437" s="66"/>
      <c r="O437" s="66"/>
      <c r="P437" s="64">
        <v>3500</v>
      </c>
      <c r="Q437" s="66"/>
      <c r="R437" s="66"/>
      <c r="S437" s="214"/>
      <c r="T437" s="219">
        <f t="shared" si="13"/>
        <v>3500</v>
      </c>
    </row>
    <row r="438" spans="1:20" ht="22.5">
      <c r="A438" s="17" t="s">
        <v>216</v>
      </c>
      <c r="B438" s="73">
        <v>1</v>
      </c>
      <c r="C438" s="67"/>
      <c r="D438" s="212">
        <v>12</v>
      </c>
      <c r="E438" s="218">
        <f t="shared" si="12"/>
        <v>42000</v>
      </c>
      <c r="F438" s="60" t="s">
        <v>166</v>
      </c>
      <c r="G438" s="66"/>
      <c r="H438" s="66"/>
      <c r="I438" s="66"/>
      <c r="J438" s="66"/>
      <c r="K438" s="66"/>
      <c r="L438" s="66"/>
      <c r="M438" s="66"/>
      <c r="N438" s="66"/>
      <c r="O438" s="66"/>
      <c r="P438" s="64">
        <v>3500</v>
      </c>
      <c r="Q438" s="66"/>
      <c r="R438" s="66"/>
      <c r="S438" s="214"/>
      <c r="T438" s="219">
        <f t="shared" si="13"/>
        <v>3500</v>
      </c>
    </row>
    <row r="439" spans="1:20" ht="22.5">
      <c r="A439" s="17" t="s">
        <v>216</v>
      </c>
      <c r="B439" s="73">
        <v>1</v>
      </c>
      <c r="C439" s="67"/>
      <c r="D439" s="212">
        <v>12</v>
      </c>
      <c r="E439" s="218">
        <f t="shared" si="12"/>
        <v>42000</v>
      </c>
      <c r="F439" s="60" t="s">
        <v>166</v>
      </c>
      <c r="G439" s="66"/>
      <c r="H439" s="66"/>
      <c r="I439" s="66"/>
      <c r="J439" s="66"/>
      <c r="K439" s="66"/>
      <c r="L439" s="66"/>
      <c r="M439" s="66"/>
      <c r="N439" s="66"/>
      <c r="O439" s="66"/>
      <c r="P439" s="64">
        <v>3500</v>
      </c>
      <c r="Q439" s="66"/>
      <c r="R439" s="66"/>
      <c r="S439" s="214"/>
      <c r="T439" s="219">
        <f t="shared" si="13"/>
        <v>3500</v>
      </c>
    </row>
    <row r="440" spans="1:20" ht="22.5">
      <c r="A440" s="17" t="s">
        <v>216</v>
      </c>
      <c r="B440" s="73">
        <v>1</v>
      </c>
      <c r="C440" s="67"/>
      <c r="D440" s="212">
        <v>12</v>
      </c>
      <c r="E440" s="218">
        <f t="shared" si="12"/>
        <v>42000</v>
      </c>
      <c r="F440" s="60" t="s">
        <v>166</v>
      </c>
      <c r="G440" s="66"/>
      <c r="H440" s="66"/>
      <c r="I440" s="66"/>
      <c r="J440" s="66"/>
      <c r="K440" s="66"/>
      <c r="L440" s="66"/>
      <c r="M440" s="66"/>
      <c r="N440" s="66"/>
      <c r="O440" s="66"/>
      <c r="P440" s="64">
        <v>3500</v>
      </c>
      <c r="Q440" s="66"/>
      <c r="R440" s="66"/>
      <c r="S440" s="214"/>
      <c r="T440" s="219">
        <f t="shared" si="13"/>
        <v>3500</v>
      </c>
    </row>
    <row r="441" spans="1:20" ht="22.5">
      <c r="A441" s="17" t="s">
        <v>216</v>
      </c>
      <c r="B441" s="73">
        <v>1</v>
      </c>
      <c r="C441" s="67"/>
      <c r="D441" s="212">
        <v>12</v>
      </c>
      <c r="E441" s="218">
        <f t="shared" si="12"/>
        <v>42000</v>
      </c>
      <c r="F441" s="60" t="s">
        <v>166</v>
      </c>
      <c r="G441" s="66"/>
      <c r="H441" s="66"/>
      <c r="I441" s="66"/>
      <c r="J441" s="66"/>
      <c r="K441" s="66"/>
      <c r="L441" s="66"/>
      <c r="M441" s="66"/>
      <c r="N441" s="66"/>
      <c r="O441" s="66"/>
      <c r="P441" s="64">
        <v>3500</v>
      </c>
      <c r="Q441" s="66"/>
      <c r="R441" s="66"/>
      <c r="S441" s="214"/>
      <c r="T441" s="219">
        <f t="shared" si="13"/>
        <v>3500</v>
      </c>
    </row>
    <row r="442" spans="1:20" ht="22.5">
      <c r="A442" s="17" t="s">
        <v>216</v>
      </c>
      <c r="B442" s="73">
        <v>1</v>
      </c>
      <c r="C442" s="67"/>
      <c r="D442" s="212">
        <v>12</v>
      </c>
      <c r="E442" s="218">
        <f t="shared" si="12"/>
        <v>42000</v>
      </c>
      <c r="F442" s="60" t="s">
        <v>166</v>
      </c>
      <c r="G442" s="66"/>
      <c r="H442" s="66"/>
      <c r="I442" s="66"/>
      <c r="J442" s="66"/>
      <c r="K442" s="66"/>
      <c r="L442" s="66"/>
      <c r="M442" s="66"/>
      <c r="N442" s="66"/>
      <c r="O442" s="66"/>
      <c r="P442" s="64">
        <v>3500</v>
      </c>
      <c r="Q442" s="66"/>
      <c r="R442" s="66"/>
      <c r="S442" s="214"/>
      <c r="T442" s="219">
        <f t="shared" si="13"/>
        <v>3500</v>
      </c>
    </row>
    <row r="443" spans="1:20" ht="22.5">
      <c r="A443" s="17" t="s">
        <v>216</v>
      </c>
      <c r="B443" s="73">
        <v>1</v>
      </c>
      <c r="C443" s="67"/>
      <c r="D443" s="212">
        <v>12</v>
      </c>
      <c r="E443" s="218">
        <f t="shared" si="12"/>
        <v>42000</v>
      </c>
      <c r="F443" s="60" t="s">
        <v>166</v>
      </c>
      <c r="G443" s="66"/>
      <c r="H443" s="66"/>
      <c r="I443" s="66"/>
      <c r="J443" s="66"/>
      <c r="K443" s="66"/>
      <c r="L443" s="66"/>
      <c r="M443" s="66"/>
      <c r="N443" s="66"/>
      <c r="O443" s="66"/>
      <c r="P443" s="64">
        <v>3500</v>
      </c>
      <c r="Q443" s="66"/>
      <c r="R443" s="66"/>
      <c r="S443" s="214"/>
      <c r="T443" s="219">
        <f t="shared" si="13"/>
        <v>3500</v>
      </c>
    </row>
    <row r="444" spans="1:20" ht="22.5">
      <c r="A444" s="17" t="s">
        <v>216</v>
      </c>
      <c r="B444" s="73">
        <v>1</v>
      </c>
      <c r="C444" s="67"/>
      <c r="D444" s="212">
        <v>12</v>
      </c>
      <c r="E444" s="218">
        <f t="shared" si="12"/>
        <v>42000</v>
      </c>
      <c r="F444" s="60" t="s">
        <v>166</v>
      </c>
      <c r="G444" s="66"/>
      <c r="H444" s="66"/>
      <c r="I444" s="66"/>
      <c r="J444" s="66"/>
      <c r="K444" s="66"/>
      <c r="L444" s="66"/>
      <c r="M444" s="66"/>
      <c r="N444" s="66"/>
      <c r="O444" s="66"/>
      <c r="P444" s="64">
        <v>3500</v>
      </c>
      <c r="Q444" s="66"/>
      <c r="R444" s="66"/>
      <c r="S444" s="214"/>
      <c r="T444" s="219">
        <f t="shared" si="13"/>
        <v>3500</v>
      </c>
    </row>
    <row r="445" spans="1:20" ht="22.5">
      <c r="A445" s="17" t="s">
        <v>216</v>
      </c>
      <c r="B445" s="73">
        <v>1</v>
      </c>
      <c r="C445" s="67"/>
      <c r="D445" s="212">
        <v>12</v>
      </c>
      <c r="E445" s="218">
        <f t="shared" si="12"/>
        <v>42000</v>
      </c>
      <c r="F445" s="60" t="s">
        <v>166</v>
      </c>
      <c r="G445" s="66"/>
      <c r="H445" s="66"/>
      <c r="I445" s="66"/>
      <c r="J445" s="66"/>
      <c r="K445" s="66"/>
      <c r="L445" s="66"/>
      <c r="M445" s="66"/>
      <c r="N445" s="66"/>
      <c r="O445" s="66"/>
      <c r="P445" s="64">
        <v>3500</v>
      </c>
      <c r="Q445" s="66"/>
      <c r="R445" s="66"/>
      <c r="S445" s="214"/>
      <c r="T445" s="219">
        <f t="shared" si="13"/>
        <v>3500</v>
      </c>
    </row>
    <row r="446" spans="1:20" ht="22.5">
      <c r="A446" s="17" t="s">
        <v>216</v>
      </c>
      <c r="B446" s="73">
        <v>1</v>
      </c>
      <c r="C446" s="67"/>
      <c r="D446" s="212">
        <v>12</v>
      </c>
      <c r="E446" s="218">
        <f t="shared" si="12"/>
        <v>42000</v>
      </c>
      <c r="F446" s="60" t="s">
        <v>166</v>
      </c>
      <c r="G446" s="66"/>
      <c r="H446" s="66"/>
      <c r="I446" s="66"/>
      <c r="J446" s="66"/>
      <c r="K446" s="66"/>
      <c r="L446" s="66"/>
      <c r="M446" s="66"/>
      <c r="N446" s="66"/>
      <c r="O446" s="66"/>
      <c r="P446" s="64">
        <v>3500</v>
      </c>
      <c r="Q446" s="66"/>
      <c r="R446" s="66"/>
      <c r="S446" s="214"/>
      <c r="T446" s="219">
        <f t="shared" si="13"/>
        <v>3500</v>
      </c>
    </row>
    <row r="447" spans="1:20" ht="22.5">
      <c r="A447" s="17" t="s">
        <v>216</v>
      </c>
      <c r="B447" s="73">
        <v>1</v>
      </c>
      <c r="C447" s="67"/>
      <c r="D447" s="212">
        <v>12</v>
      </c>
      <c r="E447" s="218">
        <f t="shared" si="12"/>
        <v>42000</v>
      </c>
      <c r="F447" s="60" t="s">
        <v>166</v>
      </c>
      <c r="G447" s="66"/>
      <c r="H447" s="66"/>
      <c r="I447" s="66"/>
      <c r="J447" s="66"/>
      <c r="K447" s="66"/>
      <c r="L447" s="66"/>
      <c r="M447" s="66"/>
      <c r="N447" s="66"/>
      <c r="O447" s="66"/>
      <c r="P447" s="64">
        <v>3500</v>
      </c>
      <c r="Q447" s="66"/>
      <c r="R447" s="66"/>
      <c r="S447" s="214"/>
      <c r="T447" s="219">
        <f t="shared" si="13"/>
        <v>3500</v>
      </c>
    </row>
    <row r="448" spans="1:20" ht="22.5">
      <c r="A448" s="17" t="s">
        <v>216</v>
      </c>
      <c r="B448" s="73">
        <v>1</v>
      </c>
      <c r="C448" s="67"/>
      <c r="D448" s="212">
        <v>12</v>
      </c>
      <c r="E448" s="218">
        <f t="shared" si="12"/>
        <v>42000</v>
      </c>
      <c r="F448" s="60" t="s">
        <v>166</v>
      </c>
      <c r="G448" s="66"/>
      <c r="H448" s="66"/>
      <c r="I448" s="66"/>
      <c r="J448" s="66"/>
      <c r="K448" s="66"/>
      <c r="L448" s="66"/>
      <c r="M448" s="66"/>
      <c r="N448" s="66"/>
      <c r="O448" s="66"/>
      <c r="P448" s="64">
        <v>3500</v>
      </c>
      <c r="Q448" s="66"/>
      <c r="R448" s="66"/>
      <c r="S448" s="214"/>
      <c r="T448" s="219">
        <f t="shared" si="13"/>
        <v>3500</v>
      </c>
    </row>
    <row r="449" spans="1:20" ht="22.5">
      <c r="A449" s="17" t="s">
        <v>216</v>
      </c>
      <c r="B449" s="73">
        <v>1</v>
      </c>
      <c r="C449" s="67"/>
      <c r="D449" s="212">
        <v>12</v>
      </c>
      <c r="E449" s="218">
        <f t="shared" si="12"/>
        <v>42000</v>
      </c>
      <c r="F449" s="60" t="s">
        <v>166</v>
      </c>
      <c r="G449" s="66"/>
      <c r="H449" s="66"/>
      <c r="I449" s="66"/>
      <c r="J449" s="66"/>
      <c r="K449" s="66"/>
      <c r="L449" s="66"/>
      <c r="M449" s="66"/>
      <c r="N449" s="66"/>
      <c r="O449" s="66"/>
      <c r="P449" s="64">
        <v>3500</v>
      </c>
      <c r="Q449" s="66"/>
      <c r="R449" s="66"/>
      <c r="S449" s="214"/>
      <c r="T449" s="219">
        <f t="shared" si="13"/>
        <v>3500</v>
      </c>
    </row>
    <row r="450" spans="1:20" ht="22.5">
      <c r="A450" s="17" t="s">
        <v>216</v>
      </c>
      <c r="B450" s="73">
        <v>1</v>
      </c>
      <c r="C450" s="67"/>
      <c r="D450" s="212">
        <v>12</v>
      </c>
      <c r="E450" s="218">
        <f t="shared" si="12"/>
        <v>42000</v>
      </c>
      <c r="F450" s="60" t="s">
        <v>166</v>
      </c>
      <c r="G450" s="66"/>
      <c r="H450" s="66"/>
      <c r="I450" s="66"/>
      <c r="J450" s="66"/>
      <c r="K450" s="66"/>
      <c r="L450" s="66"/>
      <c r="M450" s="66"/>
      <c r="N450" s="66"/>
      <c r="O450" s="66"/>
      <c r="P450" s="64">
        <v>3500</v>
      </c>
      <c r="Q450" s="66"/>
      <c r="R450" s="66"/>
      <c r="S450" s="214"/>
      <c r="T450" s="219">
        <f t="shared" si="13"/>
        <v>3500</v>
      </c>
    </row>
    <row r="451" spans="1:20" ht="22.5">
      <c r="A451" s="17" t="s">
        <v>216</v>
      </c>
      <c r="B451" s="73">
        <v>1</v>
      </c>
      <c r="C451" s="67"/>
      <c r="D451" s="212">
        <v>12</v>
      </c>
      <c r="E451" s="218">
        <f t="shared" si="12"/>
        <v>42000</v>
      </c>
      <c r="F451" s="60" t="s">
        <v>166</v>
      </c>
      <c r="G451" s="66"/>
      <c r="H451" s="66"/>
      <c r="I451" s="66"/>
      <c r="J451" s="66"/>
      <c r="K451" s="66"/>
      <c r="L451" s="66"/>
      <c r="M451" s="66"/>
      <c r="N451" s="66"/>
      <c r="O451" s="66"/>
      <c r="P451" s="64">
        <v>3500</v>
      </c>
      <c r="Q451" s="66"/>
      <c r="R451" s="66"/>
      <c r="S451" s="214"/>
      <c r="T451" s="219">
        <f t="shared" si="13"/>
        <v>3500</v>
      </c>
    </row>
    <row r="452" spans="1:20" ht="22.5">
      <c r="A452" s="17" t="s">
        <v>216</v>
      </c>
      <c r="B452" s="73">
        <v>1</v>
      </c>
      <c r="C452" s="67"/>
      <c r="D452" s="212">
        <v>12</v>
      </c>
      <c r="E452" s="218">
        <f t="shared" si="12"/>
        <v>42000</v>
      </c>
      <c r="F452" s="60" t="s">
        <v>166</v>
      </c>
      <c r="G452" s="66"/>
      <c r="H452" s="66"/>
      <c r="I452" s="66"/>
      <c r="J452" s="66"/>
      <c r="K452" s="66"/>
      <c r="L452" s="66"/>
      <c r="M452" s="66"/>
      <c r="N452" s="66"/>
      <c r="O452" s="66"/>
      <c r="P452" s="64">
        <v>3500</v>
      </c>
      <c r="Q452" s="66"/>
      <c r="R452" s="66"/>
      <c r="S452" s="214"/>
      <c r="T452" s="219">
        <f t="shared" si="13"/>
        <v>3500</v>
      </c>
    </row>
    <row r="453" spans="1:20" ht="22.5">
      <c r="A453" s="17" t="s">
        <v>216</v>
      </c>
      <c r="B453" s="73">
        <v>1</v>
      </c>
      <c r="C453" s="67"/>
      <c r="D453" s="212">
        <v>12</v>
      </c>
      <c r="E453" s="218">
        <f t="shared" si="12"/>
        <v>42000</v>
      </c>
      <c r="F453" s="60" t="s">
        <v>166</v>
      </c>
      <c r="G453" s="66"/>
      <c r="H453" s="66"/>
      <c r="I453" s="66"/>
      <c r="J453" s="66"/>
      <c r="K453" s="66"/>
      <c r="L453" s="66"/>
      <c r="M453" s="66"/>
      <c r="N453" s="66"/>
      <c r="O453" s="66"/>
      <c r="P453" s="64">
        <v>3500</v>
      </c>
      <c r="Q453" s="66"/>
      <c r="R453" s="66"/>
      <c r="S453" s="214"/>
      <c r="T453" s="219">
        <f t="shared" si="13"/>
        <v>3500</v>
      </c>
    </row>
    <row r="454" spans="1:20" ht="22.5">
      <c r="A454" s="17" t="s">
        <v>216</v>
      </c>
      <c r="B454" s="73">
        <v>1</v>
      </c>
      <c r="C454" s="67"/>
      <c r="D454" s="212">
        <v>12</v>
      </c>
      <c r="E454" s="218">
        <f t="shared" si="12"/>
        <v>42000</v>
      </c>
      <c r="F454" s="60" t="s">
        <v>166</v>
      </c>
      <c r="G454" s="66"/>
      <c r="H454" s="66"/>
      <c r="I454" s="66"/>
      <c r="J454" s="66"/>
      <c r="K454" s="66"/>
      <c r="L454" s="66"/>
      <c r="M454" s="66"/>
      <c r="N454" s="66"/>
      <c r="O454" s="66"/>
      <c r="P454" s="64">
        <v>3500</v>
      </c>
      <c r="Q454" s="66"/>
      <c r="R454" s="66"/>
      <c r="S454" s="214"/>
      <c r="T454" s="219">
        <f t="shared" si="13"/>
        <v>3500</v>
      </c>
    </row>
    <row r="455" spans="1:20" ht="22.5">
      <c r="A455" s="17" t="s">
        <v>216</v>
      </c>
      <c r="B455" s="73">
        <v>1</v>
      </c>
      <c r="C455" s="67"/>
      <c r="D455" s="212">
        <v>12</v>
      </c>
      <c r="E455" s="218">
        <f t="shared" ref="E455:E518" si="14">T455*12</f>
        <v>42000</v>
      </c>
      <c r="F455" s="60" t="s">
        <v>166</v>
      </c>
      <c r="G455" s="66"/>
      <c r="H455" s="66"/>
      <c r="I455" s="66"/>
      <c r="J455" s="66"/>
      <c r="K455" s="66"/>
      <c r="L455" s="66"/>
      <c r="M455" s="66"/>
      <c r="N455" s="66"/>
      <c r="O455" s="66"/>
      <c r="P455" s="64">
        <v>3500</v>
      </c>
      <c r="Q455" s="66"/>
      <c r="R455" s="66"/>
      <c r="S455" s="214"/>
      <c r="T455" s="219">
        <f t="shared" si="13"/>
        <v>3500</v>
      </c>
    </row>
    <row r="456" spans="1:20" ht="22.5">
      <c r="A456" s="17" t="s">
        <v>216</v>
      </c>
      <c r="B456" s="73">
        <v>1</v>
      </c>
      <c r="C456" s="67"/>
      <c r="D456" s="212">
        <v>12</v>
      </c>
      <c r="E456" s="218">
        <f t="shared" si="14"/>
        <v>42000</v>
      </c>
      <c r="F456" s="60" t="s">
        <v>166</v>
      </c>
      <c r="G456" s="66"/>
      <c r="H456" s="66"/>
      <c r="I456" s="66"/>
      <c r="J456" s="66"/>
      <c r="K456" s="66"/>
      <c r="L456" s="66"/>
      <c r="M456" s="66"/>
      <c r="N456" s="66"/>
      <c r="O456" s="66"/>
      <c r="P456" s="64">
        <v>3500</v>
      </c>
      <c r="Q456" s="66"/>
      <c r="R456" s="66"/>
      <c r="S456" s="214"/>
      <c r="T456" s="219">
        <f t="shared" ref="T456:T519" si="15">SUM(G456:S456)</f>
        <v>3500</v>
      </c>
    </row>
    <row r="457" spans="1:20" ht="22.5">
      <c r="A457" s="17" t="s">
        <v>216</v>
      </c>
      <c r="B457" s="73">
        <v>1</v>
      </c>
      <c r="C457" s="67"/>
      <c r="D457" s="212">
        <v>12</v>
      </c>
      <c r="E457" s="218">
        <f t="shared" si="14"/>
        <v>42000</v>
      </c>
      <c r="F457" s="60" t="s">
        <v>166</v>
      </c>
      <c r="G457" s="66"/>
      <c r="H457" s="66"/>
      <c r="I457" s="66"/>
      <c r="J457" s="66"/>
      <c r="K457" s="66"/>
      <c r="L457" s="66"/>
      <c r="M457" s="66"/>
      <c r="N457" s="66"/>
      <c r="O457" s="66"/>
      <c r="P457" s="64">
        <v>3500</v>
      </c>
      <c r="Q457" s="66"/>
      <c r="R457" s="66"/>
      <c r="S457" s="214"/>
      <c r="T457" s="219">
        <f t="shared" si="15"/>
        <v>3500</v>
      </c>
    </row>
    <row r="458" spans="1:20" ht="22.5">
      <c r="A458" s="17" t="s">
        <v>216</v>
      </c>
      <c r="B458" s="73">
        <v>1</v>
      </c>
      <c r="C458" s="67"/>
      <c r="D458" s="212">
        <v>12</v>
      </c>
      <c r="E458" s="218">
        <f t="shared" si="14"/>
        <v>42000</v>
      </c>
      <c r="F458" s="60" t="s">
        <v>166</v>
      </c>
      <c r="G458" s="66"/>
      <c r="H458" s="66"/>
      <c r="I458" s="66"/>
      <c r="J458" s="66"/>
      <c r="K458" s="66"/>
      <c r="L458" s="66"/>
      <c r="M458" s="66"/>
      <c r="N458" s="66"/>
      <c r="O458" s="66"/>
      <c r="P458" s="64">
        <v>3500</v>
      </c>
      <c r="Q458" s="66"/>
      <c r="R458" s="66"/>
      <c r="S458" s="214"/>
      <c r="T458" s="219">
        <f t="shared" si="15"/>
        <v>3500</v>
      </c>
    </row>
    <row r="459" spans="1:20" ht="22.5">
      <c r="A459" s="17" t="s">
        <v>216</v>
      </c>
      <c r="B459" s="73">
        <v>1</v>
      </c>
      <c r="C459" s="67"/>
      <c r="D459" s="212">
        <v>12</v>
      </c>
      <c r="E459" s="218">
        <f t="shared" si="14"/>
        <v>42000</v>
      </c>
      <c r="F459" s="60" t="s">
        <v>166</v>
      </c>
      <c r="G459" s="66"/>
      <c r="H459" s="66"/>
      <c r="I459" s="66"/>
      <c r="J459" s="66"/>
      <c r="K459" s="66"/>
      <c r="L459" s="66"/>
      <c r="M459" s="66"/>
      <c r="N459" s="66"/>
      <c r="O459" s="66"/>
      <c r="P459" s="64">
        <v>3500</v>
      </c>
      <c r="Q459" s="66"/>
      <c r="R459" s="66"/>
      <c r="S459" s="214"/>
      <c r="T459" s="219">
        <f t="shared" si="15"/>
        <v>3500</v>
      </c>
    </row>
    <row r="460" spans="1:20" ht="22.5">
      <c r="A460" s="17" t="s">
        <v>216</v>
      </c>
      <c r="B460" s="73">
        <v>1</v>
      </c>
      <c r="C460" s="67"/>
      <c r="D460" s="212">
        <v>12</v>
      </c>
      <c r="E460" s="218">
        <f t="shared" si="14"/>
        <v>42000</v>
      </c>
      <c r="F460" s="60" t="s">
        <v>166</v>
      </c>
      <c r="G460" s="66"/>
      <c r="H460" s="66"/>
      <c r="I460" s="66"/>
      <c r="J460" s="66"/>
      <c r="K460" s="66"/>
      <c r="L460" s="66"/>
      <c r="M460" s="66"/>
      <c r="N460" s="66"/>
      <c r="O460" s="66"/>
      <c r="P460" s="64">
        <v>3500</v>
      </c>
      <c r="Q460" s="66"/>
      <c r="R460" s="66"/>
      <c r="S460" s="214"/>
      <c r="T460" s="219">
        <f t="shared" si="15"/>
        <v>3500</v>
      </c>
    </row>
    <row r="461" spans="1:20" ht="22.5">
      <c r="A461" s="17" t="s">
        <v>216</v>
      </c>
      <c r="B461" s="73">
        <v>1</v>
      </c>
      <c r="C461" s="67"/>
      <c r="D461" s="212">
        <v>12</v>
      </c>
      <c r="E461" s="218">
        <f t="shared" si="14"/>
        <v>42000</v>
      </c>
      <c r="F461" s="60" t="s">
        <v>166</v>
      </c>
      <c r="G461" s="66"/>
      <c r="H461" s="66"/>
      <c r="I461" s="66"/>
      <c r="J461" s="66"/>
      <c r="K461" s="66"/>
      <c r="L461" s="66"/>
      <c r="M461" s="66"/>
      <c r="N461" s="66"/>
      <c r="O461" s="66"/>
      <c r="P461" s="64">
        <v>3500</v>
      </c>
      <c r="Q461" s="66"/>
      <c r="R461" s="66"/>
      <c r="S461" s="214"/>
      <c r="T461" s="219">
        <f t="shared" si="15"/>
        <v>3500</v>
      </c>
    </row>
    <row r="462" spans="1:20" ht="22.5">
      <c r="A462" s="17" t="s">
        <v>216</v>
      </c>
      <c r="B462" s="73">
        <v>1</v>
      </c>
      <c r="C462" s="67"/>
      <c r="D462" s="212">
        <v>12</v>
      </c>
      <c r="E462" s="218">
        <f t="shared" si="14"/>
        <v>42000</v>
      </c>
      <c r="F462" s="60" t="s">
        <v>166</v>
      </c>
      <c r="G462" s="66"/>
      <c r="H462" s="66"/>
      <c r="I462" s="66"/>
      <c r="J462" s="66"/>
      <c r="K462" s="66"/>
      <c r="L462" s="66"/>
      <c r="M462" s="66"/>
      <c r="N462" s="66"/>
      <c r="O462" s="66"/>
      <c r="P462" s="64">
        <v>3500</v>
      </c>
      <c r="Q462" s="66"/>
      <c r="R462" s="66"/>
      <c r="S462" s="214"/>
      <c r="T462" s="219">
        <f t="shared" si="15"/>
        <v>3500</v>
      </c>
    </row>
    <row r="463" spans="1:20" ht="22.5">
      <c r="A463" s="17" t="s">
        <v>216</v>
      </c>
      <c r="B463" s="73">
        <v>1</v>
      </c>
      <c r="C463" s="67"/>
      <c r="D463" s="212">
        <v>12</v>
      </c>
      <c r="E463" s="218">
        <f t="shared" si="14"/>
        <v>42000</v>
      </c>
      <c r="F463" s="60" t="s">
        <v>166</v>
      </c>
      <c r="G463" s="66"/>
      <c r="H463" s="66"/>
      <c r="I463" s="66"/>
      <c r="J463" s="66"/>
      <c r="K463" s="66"/>
      <c r="L463" s="66"/>
      <c r="M463" s="66"/>
      <c r="N463" s="66"/>
      <c r="O463" s="66"/>
      <c r="P463" s="64">
        <v>3500</v>
      </c>
      <c r="Q463" s="66"/>
      <c r="R463" s="66"/>
      <c r="S463" s="214"/>
      <c r="T463" s="219">
        <f t="shared" si="15"/>
        <v>3500</v>
      </c>
    </row>
    <row r="464" spans="1:20" ht="22.5">
      <c r="A464" s="17" t="s">
        <v>216</v>
      </c>
      <c r="B464" s="73">
        <v>1</v>
      </c>
      <c r="C464" s="67"/>
      <c r="D464" s="212">
        <v>12</v>
      </c>
      <c r="E464" s="218">
        <f t="shared" si="14"/>
        <v>42000</v>
      </c>
      <c r="F464" s="60" t="s">
        <v>166</v>
      </c>
      <c r="G464" s="66"/>
      <c r="H464" s="66"/>
      <c r="I464" s="66"/>
      <c r="J464" s="66"/>
      <c r="K464" s="66"/>
      <c r="L464" s="66"/>
      <c r="M464" s="66"/>
      <c r="N464" s="66"/>
      <c r="O464" s="66"/>
      <c r="P464" s="64">
        <v>3500</v>
      </c>
      <c r="Q464" s="66"/>
      <c r="R464" s="66"/>
      <c r="S464" s="214"/>
      <c r="T464" s="219">
        <f t="shared" si="15"/>
        <v>3500</v>
      </c>
    </row>
    <row r="465" spans="1:20" ht="22.5">
      <c r="A465" s="17" t="s">
        <v>216</v>
      </c>
      <c r="B465" s="73">
        <v>1</v>
      </c>
      <c r="C465" s="67"/>
      <c r="D465" s="212">
        <v>12</v>
      </c>
      <c r="E465" s="218">
        <f t="shared" si="14"/>
        <v>42000</v>
      </c>
      <c r="F465" s="60" t="s">
        <v>166</v>
      </c>
      <c r="G465" s="66"/>
      <c r="H465" s="66"/>
      <c r="I465" s="66"/>
      <c r="J465" s="66"/>
      <c r="K465" s="66"/>
      <c r="L465" s="66"/>
      <c r="M465" s="66"/>
      <c r="N465" s="66"/>
      <c r="O465" s="66"/>
      <c r="P465" s="64">
        <v>3500</v>
      </c>
      <c r="Q465" s="66"/>
      <c r="R465" s="66"/>
      <c r="S465" s="214"/>
      <c r="T465" s="219">
        <f t="shared" si="15"/>
        <v>3500</v>
      </c>
    </row>
    <row r="466" spans="1:20" ht="22.5">
      <c r="A466" s="17" t="s">
        <v>216</v>
      </c>
      <c r="B466" s="73">
        <v>1</v>
      </c>
      <c r="C466" s="67"/>
      <c r="D466" s="212">
        <v>12</v>
      </c>
      <c r="E466" s="218">
        <f t="shared" si="14"/>
        <v>42000</v>
      </c>
      <c r="F466" s="60" t="s">
        <v>166</v>
      </c>
      <c r="G466" s="66"/>
      <c r="H466" s="66"/>
      <c r="I466" s="66"/>
      <c r="J466" s="66"/>
      <c r="K466" s="66"/>
      <c r="L466" s="66"/>
      <c r="M466" s="66"/>
      <c r="N466" s="66"/>
      <c r="O466" s="66"/>
      <c r="P466" s="64">
        <v>3500</v>
      </c>
      <c r="Q466" s="66"/>
      <c r="R466" s="66"/>
      <c r="S466" s="214"/>
      <c r="T466" s="219">
        <f t="shared" si="15"/>
        <v>3500</v>
      </c>
    </row>
    <row r="467" spans="1:20" ht="22.5">
      <c r="A467" s="17" t="s">
        <v>216</v>
      </c>
      <c r="B467" s="73">
        <v>1</v>
      </c>
      <c r="C467" s="67"/>
      <c r="D467" s="212">
        <v>12</v>
      </c>
      <c r="E467" s="218">
        <f t="shared" si="14"/>
        <v>42000</v>
      </c>
      <c r="F467" s="60" t="s">
        <v>166</v>
      </c>
      <c r="G467" s="66"/>
      <c r="H467" s="66"/>
      <c r="I467" s="66"/>
      <c r="J467" s="66"/>
      <c r="K467" s="66"/>
      <c r="L467" s="66"/>
      <c r="M467" s="66"/>
      <c r="N467" s="66"/>
      <c r="O467" s="66"/>
      <c r="P467" s="64">
        <v>3500</v>
      </c>
      <c r="Q467" s="66"/>
      <c r="R467" s="66"/>
      <c r="S467" s="214"/>
      <c r="T467" s="219">
        <f t="shared" si="15"/>
        <v>3500</v>
      </c>
    </row>
    <row r="468" spans="1:20" ht="22.5">
      <c r="A468" s="17" t="s">
        <v>216</v>
      </c>
      <c r="B468" s="73">
        <v>1</v>
      </c>
      <c r="C468" s="67"/>
      <c r="D468" s="212">
        <v>12</v>
      </c>
      <c r="E468" s="218">
        <f t="shared" si="14"/>
        <v>42000</v>
      </c>
      <c r="F468" s="60" t="s">
        <v>166</v>
      </c>
      <c r="G468" s="66"/>
      <c r="H468" s="66"/>
      <c r="I468" s="66"/>
      <c r="J468" s="66"/>
      <c r="K468" s="66"/>
      <c r="L468" s="66"/>
      <c r="M468" s="66"/>
      <c r="N468" s="66"/>
      <c r="O468" s="66"/>
      <c r="P468" s="64">
        <v>3500</v>
      </c>
      <c r="Q468" s="66"/>
      <c r="R468" s="66"/>
      <c r="S468" s="214"/>
      <c r="T468" s="219">
        <f t="shared" si="15"/>
        <v>3500</v>
      </c>
    </row>
    <row r="469" spans="1:20" ht="22.5">
      <c r="A469" s="17" t="s">
        <v>216</v>
      </c>
      <c r="B469" s="73">
        <v>1</v>
      </c>
      <c r="C469" s="67"/>
      <c r="D469" s="212">
        <v>12</v>
      </c>
      <c r="E469" s="218">
        <f t="shared" si="14"/>
        <v>42000</v>
      </c>
      <c r="F469" s="60" t="s">
        <v>166</v>
      </c>
      <c r="G469" s="66"/>
      <c r="H469" s="66"/>
      <c r="I469" s="66"/>
      <c r="J469" s="66"/>
      <c r="K469" s="66"/>
      <c r="L469" s="66"/>
      <c r="M469" s="66"/>
      <c r="N469" s="66"/>
      <c r="O469" s="66"/>
      <c r="P469" s="64">
        <v>3500</v>
      </c>
      <c r="Q469" s="66"/>
      <c r="R469" s="66"/>
      <c r="S469" s="214"/>
      <c r="T469" s="219">
        <f t="shared" si="15"/>
        <v>3500</v>
      </c>
    </row>
    <row r="470" spans="1:20" ht="22.5">
      <c r="A470" s="17" t="s">
        <v>216</v>
      </c>
      <c r="B470" s="73">
        <v>1</v>
      </c>
      <c r="C470" s="67"/>
      <c r="D470" s="212">
        <v>12</v>
      </c>
      <c r="E470" s="218">
        <f t="shared" si="14"/>
        <v>42000</v>
      </c>
      <c r="F470" s="60" t="s">
        <v>166</v>
      </c>
      <c r="G470" s="66"/>
      <c r="H470" s="66"/>
      <c r="I470" s="66"/>
      <c r="J470" s="66"/>
      <c r="K470" s="66"/>
      <c r="L470" s="66"/>
      <c r="M470" s="66"/>
      <c r="N470" s="66"/>
      <c r="O470" s="66"/>
      <c r="P470" s="64">
        <v>3500</v>
      </c>
      <c r="Q470" s="66"/>
      <c r="R470" s="66"/>
      <c r="S470" s="214"/>
      <c r="T470" s="219">
        <f t="shared" si="15"/>
        <v>3500</v>
      </c>
    </row>
    <row r="471" spans="1:20" ht="22.5">
      <c r="A471" s="17" t="s">
        <v>216</v>
      </c>
      <c r="B471" s="73">
        <v>1</v>
      </c>
      <c r="C471" s="67"/>
      <c r="D471" s="212">
        <v>12</v>
      </c>
      <c r="E471" s="218">
        <f t="shared" si="14"/>
        <v>42000</v>
      </c>
      <c r="F471" s="60" t="s">
        <v>166</v>
      </c>
      <c r="G471" s="66"/>
      <c r="H471" s="66"/>
      <c r="I471" s="66"/>
      <c r="J471" s="66"/>
      <c r="K471" s="66"/>
      <c r="L471" s="66"/>
      <c r="M471" s="66"/>
      <c r="N471" s="66"/>
      <c r="O471" s="66"/>
      <c r="P471" s="64">
        <v>3500</v>
      </c>
      <c r="Q471" s="66"/>
      <c r="R471" s="66"/>
      <c r="S471" s="214"/>
      <c r="T471" s="219">
        <f t="shared" si="15"/>
        <v>3500</v>
      </c>
    </row>
    <row r="472" spans="1:20" ht="22.5">
      <c r="A472" s="17" t="s">
        <v>216</v>
      </c>
      <c r="B472" s="73">
        <v>1</v>
      </c>
      <c r="C472" s="67"/>
      <c r="D472" s="212">
        <v>12</v>
      </c>
      <c r="E472" s="218">
        <f t="shared" si="14"/>
        <v>42000</v>
      </c>
      <c r="F472" s="60" t="s">
        <v>166</v>
      </c>
      <c r="G472" s="66"/>
      <c r="H472" s="66"/>
      <c r="I472" s="66"/>
      <c r="J472" s="66"/>
      <c r="K472" s="66"/>
      <c r="L472" s="66"/>
      <c r="M472" s="66"/>
      <c r="N472" s="66"/>
      <c r="O472" s="66"/>
      <c r="P472" s="64">
        <v>3500</v>
      </c>
      <c r="Q472" s="66"/>
      <c r="R472" s="66"/>
      <c r="S472" s="214"/>
      <c r="T472" s="219">
        <f t="shared" si="15"/>
        <v>3500</v>
      </c>
    </row>
    <row r="473" spans="1:20" ht="22.5">
      <c r="A473" s="17" t="s">
        <v>216</v>
      </c>
      <c r="B473" s="73">
        <v>1</v>
      </c>
      <c r="C473" s="67"/>
      <c r="D473" s="212">
        <v>12</v>
      </c>
      <c r="E473" s="218">
        <f t="shared" si="14"/>
        <v>42000</v>
      </c>
      <c r="F473" s="60" t="s">
        <v>166</v>
      </c>
      <c r="G473" s="66"/>
      <c r="H473" s="66"/>
      <c r="I473" s="66"/>
      <c r="J473" s="66"/>
      <c r="K473" s="66"/>
      <c r="L473" s="66"/>
      <c r="M473" s="66"/>
      <c r="N473" s="66"/>
      <c r="O473" s="66"/>
      <c r="P473" s="64">
        <v>3500</v>
      </c>
      <c r="Q473" s="66"/>
      <c r="R473" s="66"/>
      <c r="S473" s="214"/>
      <c r="T473" s="219">
        <f t="shared" si="15"/>
        <v>3500</v>
      </c>
    </row>
    <row r="474" spans="1:20" ht="22.5">
      <c r="A474" s="17" t="s">
        <v>216</v>
      </c>
      <c r="B474" s="73">
        <v>1</v>
      </c>
      <c r="C474" s="67"/>
      <c r="D474" s="212">
        <v>12</v>
      </c>
      <c r="E474" s="218">
        <f t="shared" si="14"/>
        <v>42000</v>
      </c>
      <c r="F474" s="60" t="s">
        <v>166</v>
      </c>
      <c r="G474" s="66"/>
      <c r="H474" s="66"/>
      <c r="I474" s="66"/>
      <c r="J474" s="66"/>
      <c r="K474" s="66"/>
      <c r="L474" s="66"/>
      <c r="M474" s="66"/>
      <c r="N474" s="66"/>
      <c r="O474" s="66"/>
      <c r="P474" s="64">
        <v>3500</v>
      </c>
      <c r="Q474" s="66"/>
      <c r="R474" s="66"/>
      <c r="S474" s="214"/>
      <c r="T474" s="219">
        <f t="shared" si="15"/>
        <v>3500</v>
      </c>
    </row>
    <row r="475" spans="1:20" ht="22.5">
      <c r="A475" s="17" t="s">
        <v>216</v>
      </c>
      <c r="B475" s="73">
        <v>1</v>
      </c>
      <c r="C475" s="67"/>
      <c r="D475" s="212">
        <v>12</v>
      </c>
      <c r="E475" s="218">
        <f t="shared" si="14"/>
        <v>42000</v>
      </c>
      <c r="F475" s="60" t="s">
        <v>166</v>
      </c>
      <c r="G475" s="66"/>
      <c r="H475" s="66"/>
      <c r="I475" s="66"/>
      <c r="J475" s="66"/>
      <c r="K475" s="66"/>
      <c r="L475" s="66"/>
      <c r="M475" s="66"/>
      <c r="N475" s="66"/>
      <c r="O475" s="66"/>
      <c r="P475" s="64">
        <v>3500</v>
      </c>
      <c r="Q475" s="66"/>
      <c r="R475" s="66"/>
      <c r="S475" s="214"/>
      <c r="T475" s="219">
        <f t="shared" si="15"/>
        <v>3500</v>
      </c>
    </row>
    <row r="476" spans="1:20" ht="22.5">
      <c r="A476" s="17" t="s">
        <v>216</v>
      </c>
      <c r="B476" s="73">
        <v>1</v>
      </c>
      <c r="C476" s="67"/>
      <c r="D476" s="212">
        <v>12</v>
      </c>
      <c r="E476" s="218">
        <f t="shared" si="14"/>
        <v>42000</v>
      </c>
      <c r="F476" s="60" t="s">
        <v>166</v>
      </c>
      <c r="G476" s="66"/>
      <c r="H476" s="66"/>
      <c r="I476" s="66"/>
      <c r="J476" s="66"/>
      <c r="K476" s="66"/>
      <c r="L476" s="66"/>
      <c r="M476" s="66"/>
      <c r="N476" s="66"/>
      <c r="O476" s="66"/>
      <c r="P476" s="64">
        <v>3500</v>
      </c>
      <c r="Q476" s="66"/>
      <c r="R476" s="66"/>
      <c r="S476" s="214"/>
      <c r="T476" s="219">
        <f t="shared" si="15"/>
        <v>3500</v>
      </c>
    </row>
    <row r="477" spans="1:20" ht="22.5">
      <c r="A477" s="17" t="s">
        <v>216</v>
      </c>
      <c r="B477" s="73">
        <v>1</v>
      </c>
      <c r="C477" s="67"/>
      <c r="D477" s="212">
        <v>12</v>
      </c>
      <c r="E477" s="218">
        <f t="shared" si="14"/>
        <v>42000</v>
      </c>
      <c r="F477" s="60" t="s">
        <v>166</v>
      </c>
      <c r="G477" s="66"/>
      <c r="H477" s="66"/>
      <c r="I477" s="66"/>
      <c r="J477" s="66"/>
      <c r="K477" s="66"/>
      <c r="L477" s="66"/>
      <c r="M477" s="66"/>
      <c r="N477" s="66"/>
      <c r="O477" s="66"/>
      <c r="P477" s="64">
        <v>3500</v>
      </c>
      <c r="Q477" s="66"/>
      <c r="R477" s="66"/>
      <c r="S477" s="214"/>
      <c r="T477" s="219">
        <f t="shared" si="15"/>
        <v>3500</v>
      </c>
    </row>
    <row r="478" spans="1:20" ht="22.5">
      <c r="A478" s="17" t="s">
        <v>216</v>
      </c>
      <c r="B478" s="73">
        <v>1</v>
      </c>
      <c r="C478" s="67"/>
      <c r="D478" s="212">
        <v>12</v>
      </c>
      <c r="E478" s="218">
        <f t="shared" si="14"/>
        <v>42000</v>
      </c>
      <c r="F478" s="60" t="s">
        <v>166</v>
      </c>
      <c r="G478" s="66"/>
      <c r="H478" s="66"/>
      <c r="I478" s="66"/>
      <c r="J478" s="66"/>
      <c r="K478" s="66"/>
      <c r="L478" s="66"/>
      <c r="M478" s="66"/>
      <c r="N478" s="66"/>
      <c r="O478" s="66"/>
      <c r="P478" s="64">
        <v>3500</v>
      </c>
      <c r="Q478" s="66"/>
      <c r="R478" s="66"/>
      <c r="S478" s="214"/>
      <c r="T478" s="219">
        <f t="shared" si="15"/>
        <v>3500</v>
      </c>
    </row>
    <row r="479" spans="1:20" ht="22.5">
      <c r="A479" s="17" t="s">
        <v>216</v>
      </c>
      <c r="B479" s="73">
        <v>1</v>
      </c>
      <c r="C479" s="67"/>
      <c r="D479" s="212">
        <v>12</v>
      </c>
      <c r="E479" s="218">
        <f t="shared" si="14"/>
        <v>42000</v>
      </c>
      <c r="F479" s="60" t="s">
        <v>166</v>
      </c>
      <c r="G479" s="66"/>
      <c r="H479" s="66"/>
      <c r="I479" s="66"/>
      <c r="J479" s="66"/>
      <c r="K479" s="66"/>
      <c r="L479" s="66"/>
      <c r="M479" s="66"/>
      <c r="N479" s="66"/>
      <c r="O479" s="66"/>
      <c r="P479" s="64">
        <v>3500</v>
      </c>
      <c r="Q479" s="66"/>
      <c r="R479" s="66"/>
      <c r="S479" s="214"/>
      <c r="T479" s="219">
        <f t="shared" si="15"/>
        <v>3500</v>
      </c>
    </row>
    <row r="480" spans="1:20" ht="22.5">
      <c r="A480" s="17" t="s">
        <v>216</v>
      </c>
      <c r="B480" s="73">
        <v>1</v>
      </c>
      <c r="C480" s="67"/>
      <c r="D480" s="212">
        <v>12</v>
      </c>
      <c r="E480" s="218">
        <f t="shared" si="14"/>
        <v>42000</v>
      </c>
      <c r="F480" s="60" t="s">
        <v>166</v>
      </c>
      <c r="G480" s="66"/>
      <c r="H480" s="66"/>
      <c r="I480" s="66"/>
      <c r="J480" s="66"/>
      <c r="K480" s="66"/>
      <c r="L480" s="66"/>
      <c r="M480" s="66"/>
      <c r="N480" s="66"/>
      <c r="O480" s="66"/>
      <c r="P480" s="64">
        <v>3500</v>
      </c>
      <c r="Q480" s="66"/>
      <c r="R480" s="66"/>
      <c r="S480" s="214"/>
      <c r="T480" s="219">
        <f t="shared" si="15"/>
        <v>3500</v>
      </c>
    </row>
    <row r="481" spans="1:20" ht="22.5">
      <c r="A481" s="17" t="s">
        <v>216</v>
      </c>
      <c r="B481" s="73">
        <v>1</v>
      </c>
      <c r="C481" s="67"/>
      <c r="D481" s="212">
        <v>12</v>
      </c>
      <c r="E481" s="218">
        <f t="shared" si="14"/>
        <v>42000</v>
      </c>
      <c r="F481" s="60" t="s">
        <v>166</v>
      </c>
      <c r="G481" s="66"/>
      <c r="H481" s="66"/>
      <c r="I481" s="66"/>
      <c r="J481" s="66"/>
      <c r="K481" s="66"/>
      <c r="L481" s="66"/>
      <c r="M481" s="66"/>
      <c r="N481" s="66"/>
      <c r="O481" s="66"/>
      <c r="P481" s="64">
        <v>3500</v>
      </c>
      <c r="Q481" s="66"/>
      <c r="R481" s="66"/>
      <c r="S481" s="214"/>
      <c r="T481" s="219">
        <f t="shared" si="15"/>
        <v>3500</v>
      </c>
    </row>
    <row r="482" spans="1:20" ht="22.5">
      <c r="A482" s="17" t="s">
        <v>216</v>
      </c>
      <c r="B482" s="73">
        <v>1</v>
      </c>
      <c r="C482" s="67"/>
      <c r="D482" s="212">
        <v>12</v>
      </c>
      <c r="E482" s="218">
        <f t="shared" si="14"/>
        <v>42000</v>
      </c>
      <c r="F482" s="60" t="s">
        <v>166</v>
      </c>
      <c r="G482" s="66"/>
      <c r="H482" s="66"/>
      <c r="I482" s="66"/>
      <c r="J482" s="66"/>
      <c r="K482" s="66"/>
      <c r="L482" s="66"/>
      <c r="M482" s="66"/>
      <c r="N482" s="66"/>
      <c r="O482" s="66"/>
      <c r="P482" s="64">
        <v>3500</v>
      </c>
      <c r="Q482" s="66"/>
      <c r="R482" s="66"/>
      <c r="S482" s="214"/>
      <c r="T482" s="219">
        <f t="shared" si="15"/>
        <v>3500</v>
      </c>
    </row>
    <row r="483" spans="1:20" ht="22.5">
      <c r="A483" s="17" t="s">
        <v>216</v>
      </c>
      <c r="B483" s="73">
        <v>1</v>
      </c>
      <c r="C483" s="67"/>
      <c r="D483" s="212">
        <v>12</v>
      </c>
      <c r="E483" s="218">
        <f t="shared" si="14"/>
        <v>42000</v>
      </c>
      <c r="F483" s="60" t="s">
        <v>166</v>
      </c>
      <c r="G483" s="66"/>
      <c r="H483" s="66"/>
      <c r="I483" s="66"/>
      <c r="J483" s="66"/>
      <c r="K483" s="66"/>
      <c r="L483" s="66"/>
      <c r="M483" s="66"/>
      <c r="N483" s="66"/>
      <c r="O483" s="66"/>
      <c r="P483" s="64">
        <v>3500</v>
      </c>
      <c r="Q483" s="66"/>
      <c r="R483" s="66"/>
      <c r="S483" s="214"/>
      <c r="T483" s="219">
        <f t="shared" si="15"/>
        <v>3500</v>
      </c>
    </row>
    <row r="484" spans="1:20" ht="22.5">
      <c r="A484" s="17" t="s">
        <v>216</v>
      </c>
      <c r="B484" s="73">
        <v>1</v>
      </c>
      <c r="C484" s="67"/>
      <c r="D484" s="212">
        <v>12</v>
      </c>
      <c r="E484" s="218">
        <f t="shared" si="14"/>
        <v>42000</v>
      </c>
      <c r="F484" s="60" t="s">
        <v>166</v>
      </c>
      <c r="G484" s="66"/>
      <c r="H484" s="66"/>
      <c r="I484" s="66"/>
      <c r="J484" s="66"/>
      <c r="K484" s="66"/>
      <c r="L484" s="66"/>
      <c r="M484" s="66"/>
      <c r="N484" s="66"/>
      <c r="O484" s="66"/>
      <c r="P484" s="64">
        <v>3500</v>
      </c>
      <c r="Q484" s="66"/>
      <c r="R484" s="66"/>
      <c r="S484" s="214"/>
      <c r="T484" s="219">
        <f t="shared" si="15"/>
        <v>3500</v>
      </c>
    </row>
    <row r="485" spans="1:20" ht="22.5">
      <c r="A485" s="17" t="s">
        <v>216</v>
      </c>
      <c r="B485" s="73">
        <v>1</v>
      </c>
      <c r="C485" s="67"/>
      <c r="D485" s="212">
        <v>12</v>
      </c>
      <c r="E485" s="218">
        <f t="shared" si="14"/>
        <v>42000</v>
      </c>
      <c r="F485" s="60" t="s">
        <v>166</v>
      </c>
      <c r="G485" s="66"/>
      <c r="H485" s="66"/>
      <c r="I485" s="66"/>
      <c r="J485" s="66"/>
      <c r="K485" s="66"/>
      <c r="L485" s="66"/>
      <c r="M485" s="66"/>
      <c r="N485" s="66"/>
      <c r="O485" s="66"/>
      <c r="P485" s="64">
        <v>3500</v>
      </c>
      <c r="Q485" s="66"/>
      <c r="R485" s="66"/>
      <c r="S485" s="214"/>
      <c r="T485" s="219">
        <f t="shared" si="15"/>
        <v>3500</v>
      </c>
    </row>
    <row r="486" spans="1:20" ht="22.5">
      <c r="A486" s="17" t="s">
        <v>216</v>
      </c>
      <c r="B486" s="73">
        <v>1</v>
      </c>
      <c r="C486" s="67"/>
      <c r="D486" s="212">
        <v>12</v>
      </c>
      <c r="E486" s="218">
        <f t="shared" si="14"/>
        <v>42000</v>
      </c>
      <c r="F486" s="60" t="s">
        <v>166</v>
      </c>
      <c r="G486" s="66"/>
      <c r="H486" s="66"/>
      <c r="I486" s="66"/>
      <c r="J486" s="66"/>
      <c r="K486" s="66"/>
      <c r="L486" s="66"/>
      <c r="M486" s="66"/>
      <c r="N486" s="66"/>
      <c r="O486" s="66"/>
      <c r="P486" s="64">
        <v>3500</v>
      </c>
      <c r="Q486" s="66"/>
      <c r="R486" s="66"/>
      <c r="S486" s="214"/>
      <c r="T486" s="219">
        <f t="shared" si="15"/>
        <v>3500</v>
      </c>
    </row>
    <row r="487" spans="1:20" ht="22.5">
      <c r="A487" s="17" t="s">
        <v>216</v>
      </c>
      <c r="B487" s="73">
        <v>1</v>
      </c>
      <c r="C487" s="67"/>
      <c r="D487" s="212">
        <v>12</v>
      </c>
      <c r="E487" s="218">
        <f t="shared" si="14"/>
        <v>42000</v>
      </c>
      <c r="F487" s="60" t="s">
        <v>166</v>
      </c>
      <c r="G487" s="66"/>
      <c r="H487" s="66"/>
      <c r="I487" s="66"/>
      <c r="J487" s="66"/>
      <c r="K487" s="66"/>
      <c r="L487" s="66"/>
      <c r="M487" s="66"/>
      <c r="N487" s="66"/>
      <c r="O487" s="66"/>
      <c r="P487" s="64">
        <v>3500</v>
      </c>
      <c r="Q487" s="66"/>
      <c r="R487" s="66"/>
      <c r="S487" s="214"/>
      <c r="T487" s="219">
        <f t="shared" si="15"/>
        <v>3500</v>
      </c>
    </row>
    <row r="488" spans="1:20" ht="22.5">
      <c r="A488" s="17" t="s">
        <v>216</v>
      </c>
      <c r="B488" s="73">
        <v>1</v>
      </c>
      <c r="C488" s="67"/>
      <c r="D488" s="212">
        <v>12</v>
      </c>
      <c r="E488" s="218">
        <f t="shared" si="14"/>
        <v>42000</v>
      </c>
      <c r="F488" s="60" t="s">
        <v>166</v>
      </c>
      <c r="G488" s="66"/>
      <c r="H488" s="66"/>
      <c r="I488" s="66"/>
      <c r="J488" s="66"/>
      <c r="K488" s="66"/>
      <c r="L488" s="66"/>
      <c r="M488" s="66"/>
      <c r="N488" s="66"/>
      <c r="O488" s="66"/>
      <c r="P488" s="64">
        <v>3500</v>
      </c>
      <c r="Q488" s="66"/>
      <c r="R488" s="66"/>
      <c r="S488" s="214"/>
      <c r="T488" s="219">
        <f t="shared" si="15"/>
        <v>3500</v>
      </c>
    </row>
    <row r="489" spans="1:20" ht="33.75">
      <c r="A489" s="17" t="s">
        <v>285</v>
      </c>
      <c r="B489" s="73">
        <v>1</v>
      </c>
      <c r="C489" s="67"/>
      <c r="D489" s="212">
        <v>12</v>
      </c>
      <c r="E489" s="218">
        <f t="shared" si="14"/>
        <v>54000</v>
      </c>
      <c r="F489" s="60" t="s">
        <v>166</v>
      </c>
      <c r="G489" s="66"/>
      <c r="H489" s="66"/>
      <c r="I489" s="66"/>
      <c r="J489" s="66"/>
      <c r="K489" s="66"/>
      <c r="L489" s="66"/>
      <c r="M489" s="66"/>
      <c r="N489" s="66"/>
      <c r="O489" s="66"/>
      <c r="P489" s="64">
        <v>4500</v>
      </c>
      <c r="Q489" s="66"/>
      <c r="R489" s="66"/>
      <c r="S489" s="214"/>
      <c r="T489" s="219">
        <f t="shared" si="15"/>
        <v>4500</v>
      </c>
    </row>
    <row r="490" spans="1:20" ht="22.5">
      <c r="A490" s="17" t="s">
        <v>216</v>
      </c>
      <c r="B490" s="73">
        <v>1</v>
      </c>
      <c r="C490" s="67"/>
      <c r="D490" s="212">
        <v>12</v>
      </c>
      <c r="E490" s="218">
        <f t="shared" si="14"/>
        <v>42000</v>
      </c>
      <c r="F490" s="60" t="s">
        <v>166</v>
      </c>
      <c r="G490" s="66"/>
      <c r="H490" s="66"/>
      <c r="I490" s="66"/>
      <c r="J490" s="66"/>
      <c r="K490" s="66"/>
      <c r="L490" s="66"/>
      <c r="M490" s="66"/>
      <c r="N490" s="66"/>
      <c r="O490" s="66"/>
      <c r="P490" s="64">
        <v>3500</v>
      </c>
      <c r="Q490" s="66"/>
      <c r="R490" s="66"/>
      <c r="S490" s="214"/>
      <c r="T490" s="219">
        <f t="shared" si="15"/>
        <v>3500</v>
      </c>
    </row>
    <row r="491" spans="1:20" ht="22.5">
      <c r="A491" s="17" t="s">
        <v>216</v>
      </c>
      <c r="B491" s="73">
        <v>1</v>
      </c>
      <c r="C491" s="67"/>
      <c r="D491" s="212">
        <v>12</v>
      </c>
      <c r="E491" s="218">
        <f t="shared" si="14"/>
        <v>42000</v>
      </c>
      <c r="F491" s="60" t="s">
        <v>166</v>
      </c>
      <c r="G491" s="66"/>
      <c r="H491" s="66"/>
      <c r="I491" s="66"/>
      <c r="J491" s="66"/>
      <c r="K491" s="66"/>
      <c r="L491" s="66"/>
      <c r="M491" s="66"/>
      <c r="N491" s="66"/>
      <c r="O491" s="66"/>
      <c r="P491" s="64">
        <v>3500</v>
      </c>
      <c r="Q491" s="66"/>
      <c r="R491" s="66"/>
      <c r="S491" s="214"/>
      <c r="T491" s="219">
        <f t="shared" si="15"/>
        <v>3500</v>
      </c>
    </row>
    <row r="492" spans="1:20" ht="22.5">
      <c r="A492" s="17" t="s">
        <v>216</v>
      </c>
      <c r="B492" s="73">
        <v>1</v>
      </c>
      <c r="C492" s="67"/>
      <c r="D492" s="212">
        <v>12</v>
      </c>
      <c r="E492" s="218">
        <f t="shared" si="14"/>
        <v>42000</v>
      </c>
      <c r="F492" s="60" t="s">
        <v>166</v>
      </c>
      <c r="G492" s="66"/>
      <c r="H492" s="66"/>
      <c r="I492" s="66"/>
      <c r="J492" s="66"/>
      <c r="K492" s="66"/>
      <c r="L492" s="66"/>
      <c r="M492" s="66"/>
      <c r="N492" s="66"/>
      <c r="O492" s="66"/>
      <c r="P492" s="64">
        <v>3500</v>
      </c>
      <c r="Q492" s="66"/>
      <c r="R492" s="66"/>
      <c r="S492" s="214"/>
      <c r="T492" s="219">
        <f t="shared" si="15"/>
        <v>3500</v>
      </c>
    </row>
    <row r="493" spans="1:20" ht="22.5">
      <c r="A493" s="17" t="s">
        <v>216</v>
      </c>
      <c r="B493" s="73">
        <v>1</v>
      </c>
      <c r="C493" s="67"/>
      <c r="D493" s="212">
        <v>12</v>
      </c>
      <c r="E493" s="218">
        <f t="shared" si="14"/>
        <v>42000</v>
      </c>
      <c r="F493" s="60" t="s">
        <v>166</v>
      </c>
      <c r="G493" s="66"/>
      <c r="H493" s="66"/>
      <c r="I493" s="66"/>
      <c r="J493" s="66"/>
      <c r="K493" s="66"/>
      <c r="L493" s="66"/>
      <c r="M493" s="66"/>
      <c r="N493" s="66"/>
      <c r="O493" s="66"/>
      <c r="P493" s="64">
        <v>3500</v>
      </c>
      <c r="Q493" s="66"/>
      <c r="R493" s="66"/>
      <c r="S493" s="214"/>
      <c r="T493" s="219">
        <f t="shared" si="15"/>
        <v>3500</v>
      </c>
    </row>
    <row r="494" spans="1:20" ht="22.5">
      <c r="A494" s="17" t="s">
        <v>216</v>
      </c>
      <c r="B494" s="73">
        <v>1</v>
      </c>
      <c r="C494" s="67"/>
      <c r="D494" s="212">
        <v>12</v>
      </c>
      <c r="E494" s="218">
        <f t="shared" si="14"/>
        <v>42000</v>
      </c>
      <c r="F494" s="60" t="s">
        <v>166</v>
      </c>
      <c r="G494" s="66"/>
      <c r="H494" s="66"/>
      <c r="I494" s="66"/>
      <c r="J494" s="66"/>
      <c r="K494" s="66"/>
      <c r="L494" s="66"/>
      <c r="M494" s="66"/>
      <c r="N494" s="66"/>
      <c r="O494" s="66"/>
      <c r="P494" s="64">
        <v>3500</v>
      </c>
      <c r="Q494" s="66"/>
      <c r="R494" s="66"/>
      <c r="S494" s="214"/>
      <c r="T494" s="219">
        <f t="shared" si="15"/>
        <v>3500</v>
      </c>
    </row>
    <row r="495" spans="1:20" ht="22.5">
      <c r="A495" s="17" t="s">
        <v>216</v>
      </c>
      <c r="B495" s="73">
        <v>1</v>
      </c>
      <c r="C495" s="67"/>
      <c r="D495" s="212">
        <v>12</v>
      </c>
      <c r="E495" s="218">
        <f t="shared" si="14"/>
        <v>42000</v>
      </c>
      <c r="F495" s="60" t="s">
        <v>166</v>
      </c>
      <c r="G495" s="66"/>
      <c r="H495" s="66"/>
      <c r="I495" s="66"/>
      <c r="J495" s="66"/>
      <c r="K495" s="66"/>
      <c r="L495" s="66"/>
      <c r="M495" s="66"/>
      <c r="N495" s="66"/>
      <c r="O495" s="66"/>
      <c r="P495" s="64">
        <v>3500</v>
      </c>
      <c r="Q495" s="66"/>
      <c r="R495" s="66"/>
      <c r="S495" s="214"/>
      <c r="T495" s="219">
        <f t="shared" si="15"/>
        <v>3500</v>
      </c>
    </row>
    <row r="496" spans="1:20" ht="22.5">
      <c r="A496" s="17" t="s">
        <v>216</v>
      </c>
      <c r="B496" s="73">
        <v>1</v>
      </c>
      <c r="C496" s="67"/>
      <c r="D496" s="212">
        <v>12</v>
      </c>
      <c r="E496" s="218">
        <f t="shared" si="14"/>
        <v>42000</v>
      </c>
      <c r="F496" s="60" t="s">
        <v>166</v>
      </c>
      <c r="G496" s="66"/>
      <c r="H496" s="66"/>
      <c r="I496" s="66"/>
      <c r="J496" s="66"/>
      <c r="K496" s="66"/>
      <c r="L496" s="66"/>
      <c r="M496" s="66"/>
      <c r="N496" s="66"/>
      <c r="O496" s="66"/>
      <c r="P496" s="64">
        <v>3500</v>
      </c>
      <c r="Q496" s="66"/>
      <c r="R496" s="66"/>
      <c r="S496" s="214"/>
      <c r="T496" s="219">
        <f t="shared" si="15"/>
        <v>3500</v>
      </c>
    </row>
    <row r="497" spans="1:20" ht="22.5">
      <c r="A497" s="17" t="s">
        <v>216</v>
      </c>
      <c r="B497" s="73">
        <v>1</v>
      </c>
      <c r="C497" s="67"/>
      <c r="D497" s="212">
        <v>12</v>
      </c>
      <c r="E497" s="218">
        <f t="shared" si="14"/>
        <v>42000</v>
      </c>
      <c r="F497" s="60" t="s">
        <v>166</v>
      </c>
      <c r="G497" s="66"/>
      <c r="H497" s="66"/>
      <c r="I497" s="66"/>
      <c r="J497" s="66"/>
      <c r="K497" s="66"/>
      <c r="L497" s="66"/>
      <c r="M497" s="66"/>
      <c r="N497" s="66"/>
      <c r="O497" s="66"/>
      <c r="P497" s="64">
        <v>3500</v>
      </c>
      <c r="Q497" s="66"/>
      <c r="R497" s="66"/>
      <c r="S497" s="214"/>
      <c r="T497" s="219">
        <f t="shared" si="15"/>
        <v>3500</v>
      </c>
    </row>
    <row r="498" spans="1:20" ht="22.5">
      <c r="A498" s="17" t="s">
        <v>216</v>
      </c>
      <c r="B498" s="73">
        <v>1</v>
      </c>
      <c r="C498" s="67"/>
      <c r="D498" s="212">
        <v>12</v>
      </c>
      <c r="E498" s="218">
        <f t="shared" si="14"/>
        <v>42000</v>
      </c>
      <c r="F498" s="60" t="s">
        <v>166</v>
      </c>
      <c r="G498" s="66"/>
      <c r="H498" s="66"/>
      <c r="I498" s="66"/>
      <c r="J498" s="66"/>
      <c r="K498" s="66"/>
      <c r="L498" s="66"/>
      <c r="M498" s="66"/>
      <c r="N498" s="66"/>
      <c r="O498" s="66"/>
      <c r="P498" s="64">
        <v>3500</v>
      </c>
      <c r="Q498" s="66"/>
      <c r="R498" s="66"/>
      <c r="S498" s="214"/>
      <c r="T498" s="219">
        <f t="shared" si="15"/>
        <v>3500</v>
      </c>
    </row>
    <row r="499" spans="1:20" ht="22.5">
      <c r="A499" s="17" t="s">
        <v>216</v>
      </c>
      <c r="B499" s="73">
        <v>1</v>
      </c>
      <c r="C499" s="67"/>
      <c r="D499" s="212">
        <v>12</v>
      </c>
      <c r="E499" s="218">
        <f t="shared" si="14"/>
        <v>42000</v>
      </c>
      <c r="F499" s="60" t="s">
        <v>166</v>
      </c>
      <c r="G499" s="66"/>
      <c r="H499" s="66"/>
      <c r="I499" s="66"/>
      <c r="J499" s="66"/>
      <c r="K499" s="66"/>
      <c r="L499" s="66"/>
      <c r="M499" s="66"/>
      <c r="N499" s="66"/>
      <c r="O499" s="66"/>
      <c r="P499" s="64">
        <v>3500</v>
      </c>
      <c r="Q499" s="66"/>
      <c r="R499" s="66"/>
      <c r="S499" s="214"/>
      <c r="T499" s="219">
        <f t="shared" si="15"/>
        <v>3500</v>
      </c>
    </row>
    <row r="500" spans="1:20" ht="22.5">
      <c r="A500" s="17" t="s">
        <v>216</v>
      </c>
      <c r="B500" s="73">
        <v>1</v>
      </c>
      <c r="C500" s="67"/>
      <c r="D500" s="212">
        <v>12</v>
      </c>
      <c r="E500" s="218">
        <f t="shared" si="14"/>
        <v>42000</v>
      </c>
      <c r="F500" s="60" t="s">
        <v>166</v>
      </c>
      <c r="G500" s="66"/>
      <c r="H500" s="66"/>
      <c r="I500" s="66"/>
      <c r="J500" s="66"/>
      <c r="K500" s="66"/>
      <c r="L500" s="66"/>
      <c r="M500" s="66"/>
      <c r="N500" s="66"/>
      <c r="O500" s="66"/>
      <c r="P500" s="64">
        <v>3500</v>
      </c>
      <c r="Q500" s="66"/>
      <c r="R500" s="66"/>
      <c r="S500" s="214"/>
      <c r="T500" s="219">
        <f t="shared" si="15"/>
        <v>3500</v>
      </c>
    </row>
    <row r="501" spans="1:20" ht="33.75">
      <c r="A501" s="17" t="s">
        <v>218</v>
      </c>
      <c r="B501" s="73">
        <v>1</v>
      </c>
      <c r="C501" s="67"/>
      <c r="D501" s="212">
        <v>12</v>
      </c>
      <c r="E501" s="218">
        <f t="shared" si="14"/>
        <v>48000</v>
      </c>
      <c r="F501" s="60" t="s">
        <v>166</v>
      </c>
      <c r="G501" s="66"/>
      <c r="H501" s="66"/>
      <c r="I501" s="66"/>
      <c r="J501" s="66"/>
      <c r="K501" s="66"/>
      <c r="L501" s="66"/>
      <c r="M501" s="66"/>
      <c r="N501" s="66"/>
      <c r="O501" s="66"/>
      <c r="P501" s="64">
        <v>4000</v>
      </c>
      <c r="Q501" s="66"/>
      <c r="R501" s="66"/>
      <c r="S501" s="214"/>
      <c r="T501" s="219">
        <f t="shared" si="15"/>
        <v>4000</v>
      </c>
    </row>
    <row r="502" spans="1:20" ht="33.75">
      <c r="A502" s="17" t="s">
        <v>286</v>
      </c>
      <c r="B502" s="73">
        <v>1</v>
      </c>
      <c r="C502" s="67"/>
      <c r="D502" s="212">
        <v>12</v>
      </c>
      <c r="E502" s="218">
        <f t="shared" si="14"/>
        <v>84000</v>
      </c>
      <c r="F502" s="60" t="s">
        <v>166</v>
      </c>
      <c r="G502" s="66"/>
      <c r="H502" s="66"/>
      <c r="I502" s="66"/>
      <c r="J502" s="66"/>
      <c r="K502" s="66"/>
      <c r="L502" s="66"/>
      <c r="M502" s="66"/>
      <c r="N502" s="66"/>
      <c r="O502" s="66"/>
      <c r="P502" s="64">
        <v>7000</v>
      </c>
      <c r="Q502" s="66"/>
      <c r="R502" s="66"/>
      <c r="S502" s="214"/>
      <c r="T502" s="219">
        <f t="shared" si="15"/>
        <v>7000</v>
      </c>
    </row>
    <row r="503" spans="1:20" ht="22.5">
      <c r="A503" s="17" t="s">
        <v>216</v>
      </c>
      <c r="B503" s="73">
        <v>1</v>
      </c>
      <c r="C503" s="67"/>
      <c r="D503" s="212">
        <v>12</v>
      </c>
      <c r="E503" s="218">
        <f t="shared" si="14"/>
        <v>42000</v>
      </c>
      <c r="F503" s="60" t="s">
        <v>166</v>
      </c>
      <c r="G503" s="66"/>
      <c r="H503" s="66"/>
      <c r="I503" s="66"/>
      <c r="J503" s="66"/>
      <c r="K503" s="66"/>
      <c r="L503" s="66"/>
      <c r="M503" s="66"/>
      <c r="N503" s="66"/>
      <c r="O503" s="66"/>
      <c r="P503" s="64">
        <v>3500</v>
      </c>
      <c r="Q503" s="66"/>
      <c r="R503" s="66"/>
      <c r="S503" s="214"/>
      <c r="T503" s="219">
        <f t="shared" si="15"/>
        <v>3500</v>
      </c>
    </row>
    <row r="504" spans="1:20" ht="22.5">
      <c r="A504" s="17" t="s">
        <v>216</v>
      </c>
      <c r="B504" s="73">
        <v>1</v>
      </c>
      <c r="C504" s="67"/>
      <c r="D504" s="212">
        <v>12</v>
      </c>
      <c r="E504" s="218">
        <f t="shared" si="14"/>
        <v>42000</v>
      </c>
      <c r="F504" s="60" t="s">
        <v>166</v>
      </c>
      <c r="G504" s="66"/>
      <c r="H504" s="66"/>
      <c r="I504" s="66"/>
      <c r="J504" s="66"/>
      <c r="K504" s="66"/>
      <c r="L504" s="66"/>
      <c r="M504" s="66"/>
      <c r="N504" s="66"/>
      <c r="O504" s="66"/>
      <c r="P504" s="64">
        <v>3500</v>
      </c>
      <c r="Q504" s="66"/>
      <c r="R504" s="66"/>
      <c r="S504" s="214"/>
      <c r="T504" s="219">
        <f t="shared" si="15"/>
        <v>3500</v>
      </c>
    </row>
    <row r="505" spans="1:20" ht="22.5">
      <c r="A505" s="17" t="s">
        <v>216</v>
      </c>
      <c r="B505" s="73">
        <v>1</v>
      </c>
      <c r="C505" s="67"/>
      <c r="D505" s="212">
        <v>12</v>
      </c>
      <c r="E505" s="218">
        <f t="shared" si="14"/>
        <v>42000</v>
      </c>
      <c r="F505" s="60" t="s">
        <v>166</v>
      </c>
      <c r="G505" s="66"/>
      <c r="H505" s="66"/>
      <c r="I505" s="66"/>
      <c r="J505" s="66"/>
      <c r="K505" s="66"/>
      <c r="L505" s="66"/>
      <c r="M505" s="66"/>
      <c r="N505" s="66"/>
      <c r="O505" s="66"/>
      <c r="P505" s="64">
        <v>3500</v>
      </c>
      <c r="Q505" s="66"/>
      <c r="R505" s="66"/>
      <c r="S505" s="214"/>
      <c r="T505" s="219">
        <f t="shared" si="15"/>
        <v>3500</v>
      </c>
    </row>
    <row r="506" spans="1:20" ht="22.5">
      <c r="A506" s="17" t="s">
        <v>216</v>
      </c>
      <c r="B506" s="73">
        <v>1</v>
      </c>
      <c r="C506" s="67"/>
      <c r="D506" s="212">
        <v>12</v>
      </c>
      <c r="E506" s="218">
        <f t="shared" si="14"/>
        <v>42000</v>
      </c>
      <c r="F506" s="60" t="s">
        <v>166</v>
      </c>
      <c r="G506" s="66"/>
      <c r="H506" s="66"/>
      <c r="I506" s="66"/>
      <c r="J506" s="66"/>
      <c r="K506" s="66"/>
      <c r="L506" s="66"/>
      <c r="M506" s="66"/>
      <c r="N506" s="66"/>
      <c r="O506" s="66"/>
      <c r="P506" s="64">
        <v>3500</v>
      </c>
      <c r="Q506" s="66"/>
      <c r="R506" s="66"/>
      <c r="S506" s="214"/>
      <c r="T506" s="219">
        <f t="shared" si="15"/>
        <v>3500</v>
      </c>
    </row>
    <row r="507" spans="1:20" ht="22.5">
      <c r="A507" s="17" t="s">
        <v>216</v>
      </c>
      <c r="B507" s="73">
        <v>1</v>
      </c>
      <c r="C507" s="67"/>
      <c r="D507" s="212">
        <v>12</v>
      </c>
      <c r="E507" s="218">
        <f t="shared" si="14"/>
        <v>42000</v>
      </c>
      <c r="F507" s="60" t="s">
        <v>166</v>
      </c>
      <c r="G507" s="66"/>
      <c r="H507" s="66"/>
      <c r="I507" s="66"/>
      <c r="J507" s="66"/>
      <c r="K507" s="66"/>
      <c r="L507" s="66"/>
      <c r="M507" s="66"/>
      <c r="N507" s="66"/>
      <c r="O507" s="66"/>
      <c r="P507" s="64">
        <v>3500</v>
      </c>
      <c r="Q507" s="66"/>
      <c r="R507" s="66"/>
      <c r="S507" s="214"/>
      <c r="T507" s="219">
        <f t="shared" si="15"/>
        <v>3500</v>
      </c>
    </row>
    <row r="508" spans="1:20" ht="22.5">
      <c r="A508" s="17" t="s">
        <v>216</v>
      </c>
      <c r="B508" s="73">
        <v>1</v>
      </c>
      <c r="C508" s="67"/>
      <c r="D508" s="212">
        <v>12</v>
      </c>
      <c r="E508" s="218">
        <f t="shared" si="14"/>
        <v>42000</v>
      </c>
      <c r="F508" s="60" t="s">
        <v>166</v>
      </c>
      <c r="G508" s="66"/>
      <c r="H508" s="66"/>
      <c r="I508" s="66"/>
      <c r="J508" s="66"/>
      <c r="K508" s="66"/>
      <c r="L508" s="66"/>
      <c r="M508" s="66"/>
      <c r="N508" s="66"/>
      <c r="O508" s="66"/>
      <c r="P508" s="64">
        <v>3500</v>
      </c>
      <c r="Q508" s="66"/>
      <c r="R508" s="66"/>
      <c r="S508" s="214"/>
      <c r="T508" s="219">
        <f t="shared" si="15"/>
        <v>3500</v>
      </c>
    </row>
    <row r="509" spans="1:20" ht="22.5">
      <c r="A509" s="17" t="s">
        <v>216</v>
      </c>
      <c r="B509" s="73">
        <v>1</v>
      </c>
      <c r="C509" s="67"/>
      <c r="D509" s="212">
        <v>12</v>
      </c>
      <c r="E509" s="218">
        <f t="shared" si="14"/>
        <v>54000</v>
      </c>
      <c r="F509" s="60" t="s">
        <v>166</v>
      </c>
      <c r="G509" s="66"/>
      <c r="H509" s="66"/>
      <c r="I509" s="66"/>
      <c r="J509" s="66"/>
      <c r="K509" s="66"/>
      <c r="L509" s="66"/>
      <c r="M509" s="66"/>
      <c r="N509" s="66"/>
      <c r="O509" s="66"/>
      <c r="P509" s="64">
        <v>4500</v>
      </c>
      <c r="Q509" s="66"/>
      <c r="R509" s="66"/>
      <c r="S509" s="214"/>
      <c r="T509" s="219">
        <f t="shared" si="15"/>
        <v>4500</v>
      </c>
    </row>
    <row r="510" spans="1:20" ht="22.5">
      <c r="A510" s="17" t="s">
        <v>216</v>
      </c>
      <c r="B510" s="73">
        <v>1</v>
      </c>
      <c r="C510" s="67"/>
      <c r="D510" s="212">
        <v>12</v>
      </c>
      <c r="E510" s="218">
        <f t="shared" si="14"/>
        <v>42000</v>
      </c>
      <c r="F510" s="60" t="s">
        <v>166</v>
      </c>
      <c r="G510" s="66"/>
      <c r="H510" s="66"/>
      <c r="I510" s="66"/>
      <c r="J510" s="66"/>
      <c r="K510" s="66"/>
      <c r="L510" s="66"/>
      <c r="M510" s="66"/>
      <c r="N510" s="66"/>
      <c r="O510" s="66"/>
      <c r="P510" s="64">
        <v>3500</v>
      </c>
      <c r="Q510" s="66"/>
      <c r="R510" s="66"/>
      <c r="S510" s="214"/>
      <c r="T510" s="219">
        <f t="shared" si="15"/>
        <v>3500</v>
      </c>
    </row>
    <row r="511" spans="1:20" ht="33.75">
      <c r="A511" s="17" t="s">
        <v>217</v>
      </c>
      <c r="B511" s="73">
        <v>1</v>
      </c>
      <c r="C511" s="67"/>
      <c r="D511" s="212">
        <v>12</v>
      </c>
      <c r="E511" s="218">
        <f t="shared" si="14"/>
        <v>60000</v>
      </c>
      <c r="F511" s="60" t="s">
        <v>166</v>
      </c>
      <c r="G511" s="66"/>
      <c r="H511" s="66"/>
      <c r="I511" s="66"/>
      <c r="J511" s="66"/>
      <c r="K511" s="66"/>
      <c r="L511" s="66"/>
      <c r="M511" s="66"/>
      <c r="N511" s="66"/>
      <c r="O511" s="66"/>
      <c r="P511" s="64">
        <v>5000</v>
      </c>
      <c r="Q511" s="66"/>
      <c r="R511" s="66"/>
      <c r="S511" s="214"/>
      <c r="T511" s="219">
        <f t="shared" si="15"/>
        <v>5000</v>
      </c>
    </row>
    <row r="512" spans="1:20" ht="33.75">
      <c r="A512" s="17" t="s">
        <v>287</v>
      </c>
      <c r="B512" s="73">
        <v>1</v>
      </c>
      <c r="C512" s="67"/>
      <c r="D512" s="212">
        <v>12</v>
      </c>
      <c r="E512" s="218">
        <f t="shared" si="14"/>
        <v>60000</v>
      </c>
      <c r="F512" s="60" t="s">
        <v>166</v>
      </c>
      <c r="G512" s="66"/>
      <c r="H512" s="66"/>
      <c r="I512" s="66"/>
      <c r="J512" s="66"/>
      <c r="K512" s="66"/>
      <c r="L512" s="66"/>
      <c r="M512" s="66"/>
      <c r="N512" s="66"/>
      <c r="O512" s="66"/>
      <c r="P512" s="64">
        <v>5000</v>
      </c>
      <c r="Q512" s="66"/>
      <c r="R512" s="66"/>
      <c r="S512" s="214"/>
      <c r="T512" s="219">
        <f t="shared" si="15"/>
        <v>5000</v>
      </c>
    </row>
    <row r="513" spans="1:20" ht="33.75">
      <c r="A513" s="17" t="s">
        <v>288</v>
      </c>
      <c r="B513" s="73">
        <v>1</v>
      </c>
      <c r="C513" s="67"/>
      <c r="D513" s="212">
        <v>12</v>
      </c>
      <c r="E513" s="218">
        <f t="shared" si="14"/>
        <v>54000</v>
      </c>
      <c r="F513" s="60" t="s">
        <v>166</v>
      </c>
      <c r="G513" s="66"/>
      <c r="H513" s="66"/>
      <c r="I513" s="66"/>
      <c r="J513" s="66"/>
      <c r="K513" s="66"/>
      <c r="L513" s="66"/>
      <c r="M513" s="66"/>
      <c r="N513" s="66"/>
      <c r="O513" s="66"/>
      <c r="P513" s="64">
        <v>4500</v>
      </c>
      <c r="Q513" s="66"/>
      <c r="R513" s="66"/>
      <c r="S513" s="214"/>
      <c r="T513" s="219">
        <f t="shared" si="15"/>
        <v>4500</v>
      </c>
    </row>
    <row r="514" spans="1:20" ht="33.75">
      <c r="A514" s="17" t="s">
        <v>288</v>
      </c>
      <c r="B514" s="73">
        <v>1</v>
      </c>
      <c r="C514" s="67"/>
      <c r="D514" s="212">
        <v>12</v>
      </c>
      <c r="E514" s="218">
        <f t="shared" si="14"/>
        <v>54000</v>
      </c>
      <c r="F514" s="60" t="s">
        <v>166</v>
      </c>
      <c r="G514" s="66"/>
      <c r="H514" s="66"/>
      <c r="I514" s="66"/>
      <c r="J514" s="66"/>
      <c r="K514" s="66"/>
      <c r="L514" s="66"/>
      <c r="M514" s="66"/>
      <c r="N514" s="66"/>
      <c r="O514" s="66"/>
      <c r="P514" s="64">
        <v>4500</v>
      </c>
      <c r="Q514" s="66"/>
      <c r="R514" s="66"/>
      <c r="S514" s="214"/>
      <c r="T514" s="219">
        <f t="shared" si="15"/>
        <v>4500</v>
      </c>
    </row>
    <row r="515" spans="1:20" ht="33.75">
      <c r="A515" s="17" t="s">
        <v>288</v>
      </c>
      <c r="B515" s="73">
        <v>1</v>
      </c>
      <c r="C515" s="67"/>
      <c r="D515" s="212">
        <v>12</v>
      </c>
      <c r="E515" s="218">
        <f t="shared" si="14"/>
        <v>54000</v>
      </c>
      <c r="F515" s="60" t="s">
        <v>166</v>
      </c>
      <c r="G515" s="66"/>
      <c r="H515" s="66"/>
      <c r="I515" s="66"/>
      <c r="J515" s="66"/>
      <c r="K515" s="66"/>
      <c r="L515" s="66"/>
      <c r="M515" s="66"/>
      <c r="N515" s="66"/>
      <c r="O515" s="66"/>
      <c r="P515" s="64">
        <v>4500</v>
      </c>
      <c r="Q515" s="66"/>
      <c r="R515" s="66"/>
      <c r="S515" s="214"/>
      <c r="T515" s="219">
        <f t="shared" si="15"/>
        <v>4500</v>
      </c>
    </row>
    <row r="516" spans="1:20" ht="33.75">
      <c r="A516" s="17" t="s">
        <v>218</v>
      </c>
      <c r="B516" s="73">
        <v>1</v>
      </c>
      <c r="C516" s="67"/>
      <c r="D516" s="212">
        <v>12</v>
      </c>
      <c r="E516" s="218">
        <f t="shared" si="14"/>
        <v>48000</v>
      </c>
      <c r="F516" s="60" t="s">
        <v>166</v>
      </c>
      <c r="G516" s="66"/>
      <c r="H516" s="66"/>
      <c r="I516" s="66"/>
      <c r="J516" s="66"/>
      <c r="K516" s="66"/>
      <c r="L516" s="66"/>
      <c r="M516" s="66"/>
      <c r="N516" s="66"/>
      <c r="O516" s="66"/>
      <c r="P516" s="64">
        <v>4000</v>
      </c>
      <c r="Q516" s="66"/>
      <c r="R516" s="66"/>
      <c r="S516" s="214"/>
      <c r="T516" s="219">
        <f t="shared" si="15"/>
        <v>4000</v>
      </c>
    </row>
    <row r="517" spans="1:20" ht="33.75">
      <c r="A517" s="17" t="s">
        <v>218</v>
      </c>
      <c r="B517" s="73">
        <v>1</v>
      </c>
      <c r="C517" s="67"/>
      <c r="D517" s="212">
        <v>12</v>
      </c>
      <c r="E517" s="218">
        <f t="shared" si="14"/>
        <v>48000</v>
      </c>
      <c r="F517" s="60" t="s">
        <v>166</v>
      </c>
      <c r="G517" s="66"/>
      <c r="H517" s="66"/>
      <c r="I517" s="66"/>
      <c r="J517" s="66"/>
      <c r="K517" s="66"/>
      <c r="L517" s="66"/>
      <c r="M517" s="66"/>
      <c r="N517" s="66"/>
      <c r="O517" s="66"/>
      <c r="P517" s="64">
        <v>4000</v>
      </c>
      <c r="Q517" s="66"/>
      <c r="R517" s="66"/>
      <c r="S517" s="214"/>
      <c r="T517" s="219">
        <f t="shared" si="15"/>
        <v>4000</v>
      </c>
    </row>
    <row r="518" spans="1:20" ht="33.75">
      <c r="A518" s="17" t="s">
        <v>289</v>
      </c>
      <c r="B518" s="73">
        <v>1</v>
      </c>
      <c r="C518" s="67"/>
      <c r="D518" s="212">
        <v>12</v>
      </c>
      <c r="E518" s="218">
        <f t="shared" si="14"/>
        <v>300000</v>
      </c>
      <c r="F518" s="60" t="s">
        <v>166</v>
      </c>
      <c r="G518" s="66"/>
      <c r="H518" s="66"/>
      <c r="I518" s="66"/>
      <c r="J518" s="66"/>
      <c r="K518" s="66"/>
      <c r="L518" s="66"/>
      <c r="M518" s="66"/>
      <c r="N518" s="66"/>
      <c r="O518" s="66"/>
      <c r="P518" s="64">
        <v>25000</v>
      </c>
      <c r="Q518" s="66"/>
      <c r="R518" s="66"/>
      <c r="S518" s="214"/>
      <c r="T518" s="219">
        <f t="shared" si="15"/>
        <v>25000</v>
      </c>
    </row>
    <row r="519" spans="1:20" ht="33.75">
      <c r="A519" s="17" t="s">
        <v>218</v>
      </c>
      <c r="B519" s="73">
        <v>1</v>
      </c>
      <c r="C519" s="67"/>
      <c r="D519" s="212">
        <v>12</v>
      </c>
      <c r="E519" s="218">
        <f t="shared" ref="E519:E582" si="16">T519*12</f>
        <v>48000</v>
      </c>
      <c r="F519" s="60" t="s">
        <v>166</v>
      </c>
      <c r="G519" s="66"/>
      <c r="H519" s="66"/>
      <c r="I519" s="66"/>
      <c r="J519" s="66"/>
      <c r="K519" s="66"/>
      <c r="L519" s="66"/>
      <c r="M519" s="66"/>
      <c r="N519" s="66"/>
      <c r="O519" s="66"/>
      <c r="P519" s="64">
        <v>4000</v>
      </c>
      <c r="Q519" s="66"/>
      <c r="R519" s="66"/>
      <c r="S519" s="214"/>
      <c r="T519" s="219">
        <f t="shared" si="15"/>
        <v>4000</v>
      </c>
    </row>
    <row r="520" spans="1:20" ht="33.75">
      <c r="A520" s="17" t="s">
        <v>218</v>
      </c>
      <c r="B520" s="73">
        <v>1</v>
      </c>
      <c r="C520" s="67"/>
      <c r="D520" s="212">
        <v>12</v>
      </c>
      <c r="E520" s="218">
        <f t="shared" si="16"/>
        <v>48000</v>
      </c>
      <c r="F520" s="60" t="s">
        <v>166</v>
      </c>
      <c r="G520" s="66"/>
      <c r="H520" s="66"/>
      <c r="I520" s="66"/>
      <c r="J520" s="66"/>
      <c r="K520" s="66"/>
      <c r="L520" s="66"/>
      <c r="M520" s="66"/>
      <c r="N520" s="66"/>
      <c r="O520" s="66"/>
      <c r="P520" s="64">
        <v>4000</v>
      </c>
      <c r="Q520" s="66"/>
      <c r="R520" s="66"/>
      <c r="S520" s="214"/>
      <c r="T520" s="219">
        <f t="shared" ref="T520:T583" si="17">SUM(G520:S520)</f>
        <v>4000</v>
      </c>
    </row>
    <row r="521" spans="1:20" ht="33.75">
      <c r="A521" s="17" t="s">
        <v>218</v>
      </c>
      <c r="B521" s="73">
        <v>1</v>
      </c>
      <c r="C521" s="67"/>
      <c r="D521" s="212">
        <v>12</v>
      </c>
      <c r="E521" s="218">
        <f t="shared" si="16"/>
        <v>48000</v>
      </c>
      <c r="F521" s="60" t="s">
        <v>166</v>
      </c>
      <c r="G521" s="66"/>
      <c r="H521" s="66"/>
      <c r="I521" s="66"/>
      <c r="J521" s="66"/>
      <c r="K521" s="66"/>
      <c r="L521" s="66"/>
      <c r="M521" s="66"/>
      <c r="N521" s="66"/>
      <c r="O521" s="66"/>
      <c r="P521" s="64">
        <v>4000</v>
      </c>
      <c r="Q521" s="66"/>
      <c r="R521" s="66"/>
      <c r="S521" s="214"/>
      <c r="T521" s="219">
        <f t="shared" si="17"/>
        <v>4000</v>
      </c>
    </row>
    <row r="522" spans="1:20" ht="33.75">
      <c r="A522" s="17" t="s">
        <v>218</v>
      </c>
      <c r="B522" s="73">
        <v>1</v>
      </c>
      <c r="C522" s="67"/>
      <c r="D522" s="212">
        <v>12</v>
      </c>
      <c r="E522" s="218">
        <f t="shared" si="16"/>
        <v>48000</v>
      </c>
      <c r="F522" s="60" t="s">
        <v>166</v>
      </c>
      <c r="G522" s="66"/>
      <c r="H522" s="66"/>
      <c r="I522" s="66"/>
      <c r="J522" s="66"/>
      <c r="K522" s="66"/>
      <c r="L522" s="66"/>
      <c r="M522" s="66"/>
      <c r="N522" s="66"/>
      <c r="O522" s="66"/>
      <c r="P522" s="64">
        <v>4000</v>
      </c>
      <c r="Q522" s="66"/>
      <c r="R522" s="66"/>
      <c r="S522" s="214"/>
      <c r="T522" s="219">
        <f t="shared" si="17"/>
        <v>4000</v>
      </c>
    </row>
    <row r="523" spans="1:20" ht="33.75">
      <c r="A523" s="17" t="s">
        <v>218</v>
      </c>
      <c r="B523" s="73">
        <v>1</v>
      </c>
      <c r="C523" s="67"/>
      <c r="D523" s="212">
        <v>12</v>
      </c>
      <c r="E523" s="218">
        <f t="shared" si="16"/>
        <v>48000</v>
      </c>
      <c r="F523" s="60" t="s">
        <v>166</v>
      </c>
      <c r="G523" s="66"/>
      <c r="H523" s="66"/>
      <c r="I523" s="66"/>
      <c r="J523" s="66"/>
      <c r="K523" s="66"/>
      <c r="L523" s="66"/>
      <c r="M523" s="66"/>
      <c r="N523" s="66"/>
      <c r="O523" s="66"/>
      <c r="P523" s="64">
        <v>4000</v>
      </c>
      <c r="Q523" s="66"/>
      <c r="R523" s="66"/>
      <c r="S523" s="214"/>
      <c r="T523" s="219">
        <f t="shared" si="17"/>
        <v>4000</v>
      </c>
    </row>
    <row r="524" spans="1:20" ht="33.75">
      <c r="A524" s="17" t="s">
        <v>218</v>
      </c>
      <c r="B524" s="73">
        <v>1</v>
      </c>
      <c r="C524" s="67"/>
      <c r="D524" s="212">
        <v>12</v>
      </c>
      <c r="E524" s="218">
        <f t="shared" si="16"/>
        <v>48000</v>
      </c>
      <c r="F524" s="60" t="s">
        <v>166</v>
      </c>
      <c r="G524" s="66"/>
      <c r="H524" s="66"/>
      <c r="I524" s="66"/>
      <c r="J524" s="66"/>
      <c r="K524" s="66"/>
      <c r="L524" s="66"/>
      <c r="M524" s="66"/>
      <c r="N524" s="66"/>
      <c r="O524" s="66"/>
      <c r="P524" s="64">
        <v>4000</v>
      </c>
      <c r="Q524" s="66"/>
      <c r="R524" s="66"/>
      <c r="S524" s="214"/>
      <c r="T524" s="219">
        <f t="shared" si="17"/>
        <v>4000</v>
      </c>
    </row>
    <row r="525" spans="1:20" ht="33.75">
      <c r="A525" s="17" t="s">
        <v>218</v>
      </c>
      <c r="B525" s="73">
        <v>1</v>
      </c>
      <c r="C525" s="67"/>
      <c r="D525" s="212">
        <v>12</v>
      </c>
      <c r="E525" s="218">
        <f t="shared" si="16"/>
        <v>48000</v>
      </c>
      <c r="F525" s="60" t="s">
        <v>166</v>
      </c>
      <c r="G525" s="66"/>
      <c r="H525" s="66"/>
      <c r="I525" s="66"/>
      <c r="J525" s="66"/>
      <c r="K525" s="66"/>
      <c r="L525" s="66"/>
      <c r="M525" s="66"/>
      <c r="N525" s="66"/>
      <c r="O525" s="66"/>
      <c r="P525" s="64">
        <v>4000</v>
      </c>
      <c r="Q525" s="66"/>
      <c r="R525" s="66"/>
      <c r="S525" s="214"/>
      <c r="T525" s="219">
        <f t="shared" si="17"/>
        <v>4000</v>
      </c>
    </row>
    <row r="526" spans="1:20" ht="33.75">
      <c r="A526" s="17" t="s">
        <v>217</v>
      </c>
      <c r="B526" s="73">
        <v>1</v>
      </c>
      <c r="C526" s="67"/>
      <c r="D526" s="212">
        <v>12</v>
      </c>
      <c r="E526" s="218">
        <f t="shared" si="16"/>
        <v>54000</v>
      </c>
      <c r="F526" s="60" t="s">
        <v>166</v>
      </c>
      <c r="G526" s="66"/>
      <c r="H526" s="66"/>
      <c r="I526" s="66"/>
      <c r="J526" s="66"/>
      <c r="K526" s="66"/>
      <c r="L526" s="66"/>
      <c r="M526" s="66"/>
      <c r="N526" s="66"/>
      <c r="O526" s="66"/>
      <c r="P526" s="64">
        <v>4500</v>
      </c>
      <c r="Q526" s="66"/>
      <c r="R526" s="66"/>
      <c r="S526" s="214"/>
      <c r="T526" s="219">
        <f t="shared" si="17"/>
        <v>4500</v>
      </c>
    </row>
    <row r="527" spans="1:20" ht="33.75">
      <c r="A527" s="17" t="s">
        <v>218</v>
      </c>
      <c r="B527" s="73">
        <v>1</v>
      </c>
      <c r="C527" s="67"/>
      <c r="D527" s="212">
        <v>12</v>
      </c>
      <c r="E527" s="218">
        <f t="shared" si="16"/>
        <v>48000</v>
      </c>
      <c r="F527" s="60" t="s">
        <v>166</v>
      </c>
      <c r="G527" s="66"/>
      <c r="H527" s="66"/>
      <c r="I527" s="66"/>
      <c r="J527" s="66"/>
      <c r="K527" s="66"/>
      <c r="L527" s="66"/>
      <c r="M527" s="66"/>
      <c r="N527" s="66"/>
      <c r="O527" s="66"/>
      <c r="P527" s="64">
        <v>4000</v>
      </c>
      <c r="Q527" s="66"/>
      <c r="R527" s="66"/>
      <c r="S527" s="214"/>
      <c r="T527" s="219">
        <f t="shared" si="17"/>
        <v>4000</v>
      </c>
    </row>
    <row r="528" spans="1:20" ht="33.75">
      <c r="A528" s="17" t="s">
        <v>218</v>
      </c>
      <c r="B528" s="73">
        <v>1</v>
      </c>
      <c r="C528" s="67"/>
      <c r="D528" s="212">
        <v>12</v>
      </c>
      <c r="E528" s="218">
        <f t="shared" si="16"/>
        <v>48000</v>
      </c>
      <c r="F528" s="60" t="s">
        <v>166</v>
      </c>
      <c r="G528" s="66"/>
      <c r="H528" s="66"/>
      <c r="I528" s="66"/>
      <c r="J528" s="66"/>
      <c r="K528" s="66"/>
      <c r="L528" s="66"/>
      <c r="M528" s="66"/>
      <c r="N528" s="66"/>
      <c r="O528" s="66"/>
      <c r="P528" s="64">
        <v>4000</v>
      </c>
      <c r="Q528" s="66"/>
      <c r="R528" s="66"/>
      <c r="S528" s="214"/>
      <c r="T528" s="219">
        <f t="shared" si="17"/>
        <v>4000</v>
      </c>
    </row>
    <row r="529" spans="1:20" ht="22.5">
      <c r="A529" s="17" t="s">
        <v>216</v>
      </c>
      <c r="B529" s="73">
        <v>1</v>
      </c>
      <c r="C529" s="67"/>
      <c r="D529" s="212">
        <v>12</v>
      </c>
      <c r="E529" s="218">
        <f t="shared" si="16"/>
        <v>42000</v>
      </c>
      <c r="F529" s="60" t="s">
        <v>166</v>
      </c>
      <c r="G529" s="66"/>
      <c r="H529" s="66"/>
      <c r="I529" s="66"/>
      <c r="J529" s="66"/>
      <c r="K529" s="66"/>
      <c r="L529" s="66"/>
      <c r="M529" s="66"/>
      <c r="N529" s="66"/>
      <c r="O529" s="66"/>
      <c r="P529" s="64">
        <v>3500</v>
      </c>
      <c r="Q529" s="66"/>
      <c r="R529" s="66"/>
      <c r="S529" s="214"/>
      <c r="T529" s="219">
        <f t="shared" si="17"/>
        <v>3500</v>
      </c>
    </row>
    <row r="530" spans="1:20" ht="22.5">
      <c r="A530" s="17" t="s">
        <v>216</v>
      </c>
      <c r="B530" s="73">
        <v>1</v>
      </c>
      <c r="C530" s="67"/>
      <c r="D530" s="212">
        <v>12</v>
      </c>
      <c r="E530" s="218">
        <f t="shared" si="16"/>
        <v>42000</v>
      </c>
      <c r="F530" s="60" t="s">
        <v>166</v>
      </c>
      <c r="G530" s="66"/>
      <c r="H530" s="66"/>
      <c r="I530" s="66"/>
      <c r="J530" s="66"/>
      <c r="K530" s="66"/>
      <c r="L530" s="66"/>
      <c r="M530" s="66"/>
      <c r="N530" s="66"/>
      <c r="O530" s="66"/>
      <c r="P530" s="64">
        <v>3500</v>
      </c>
      <c r="Q530" s="66"/>
      <c r="R530" s="66"/>
      <c r="S530" s="214"/>
      <c r="T530" s="219">
        <f t="shared" si="17"/>
        <v>3500</v>
      </c>
    </row>
    <row r="531" spans="1:20" ht="22.5">
      <c r="A531" s="17" t="s">
        <v>216</v>
      </c>
      <c r="B531" s="73">
        <v>1</v>
      </c>
      <c r="C531" s="67"/>
      <c r="D531" s="212">
        <v>12</v>
      </c>
      <c r="E531" s="218">
        <f t="shared" si="16"/>
        <v>42000</v>
      </c>
      <c r="F531" s="60" t="s">
        <v>166</v>
      </c>
      <c r="G531" s="66"/>
      <c r="H531" s="66"/>
      <c r="I531" s="66"/>
      <c r="J531" s="66"/>
      <c r="K531" s="66"/>
      <c r="L531" s="66"/>
      <c r="M531" s="66"/>
      <c r="N531" s="66"/>
      <c r="O531" s="66"/>
      <c r="P531" s="64">
        <v>3500</v>
      </c>
      <c r="Q531" s="66"/>
      <c r="R531" s="66"/>
      <c r="S531" s="214"/>
      <c r="T531" s="219">
        <f t="shared" si="17"/>
        <v>3500</v>
      </c>
    </row>
    <row r="532" spans="1:20" ht="22.5">
      <c r="A532" s="17" t="s">
        <v>216</v>
      </c>
      <c r="B532" s="73">
        <v>1</v>
      </c>
      <c r="C532" s="67"/>
      <c r="D532" s="212">
        <v>12</v>
      </c>
      <c r="E532" s="218">
        <f t="shared" si="16"/>
        <v>42000</v>
      </c>
      <c r="F532" s="60" t="s">
        <v>166</v>
      </c>
      <c r="G532" s="66"/>
      <c r="H532" s="66"/>
      <c r="I532" s="66"/>
      <c r="J532" s="66"/>
      <c r="K532" s="66"/>
      <c r="L532" s="66"/>
      <c r="M532" s="66"/>
      <c r="N532" s="66"/>
      <c r="O532" s="66"/>
      <c r="P532" s="64">
        <v>3500</v>
      </c>
      <c r="Q532" s="66"/>
      <c r="R532" s="66"/>
      <c r="S532" s="214"/>
      <c r="T532" s="219">
        <f t="shared" si="17"/>
        <v>3500</v>
      </c>
    </row>
    <row r="533" spans="1:20" ht="33.75">
      <c r="A533" s="17" t="s">
        <v>218</v>
      </c>
      <c r="B533" s="73">
        <v>1</v>
      </c>
      <c r="C533" s="67"/>
      <c r="D533" s="212">
        <v>12</v>
      </c>
      <c r="E533" s="218">
        <f t="shared" si="16"/>
        <v>48000</v>
      </c>
      <c r="F533" s="60" t="s">
        <v>166</v>
      </c>
      <c r="G533" s="66"/>
      <c r="H533" s="66"/>
      <c r="I533" s="66"/>
      <c r="J533" s="66"/>
      <c r="K533" s="66"/>
      <c r="L533" s="66"/>
      <c r="M533" s="66"/>
      <c r="N533" s="66"/>
      <c r="O533" s="66"/>
      <c r="P533" s="64">
        <v>4000</v>
      </c>
      <c r="Q533" s="66"/>
      <c r="R533" s="66"/>
      <c r="S533" s="214"/>
      <c r="T533" s="219">
        <f t="shared" si="17"/>
        <v>4000</v>
      </c>
    </row>
    <row r="534" spans="1:20" ht="22.5">
      <c r="A534" s="17" t="s">
        <v>216</v>
      </c>
      <c r="B534" s="73">
        <v>1</v>
      </c>
      <c r="C534" s="67"/>
      <c r="D534" s="212">
        <v>12</v>
      </c>
      <c r="E534" s="218">
        <f t="shared" si="16"/>
        <v>42000</v>
      </c>
      <c r="F534" s="60" t="s">
        <v>166</v>
      </c>
      <c r="G534" s="66"/>
      <c r="H534" s="66"/>
      <c r="I534" s="66"/>
      <c r="J534" s="66"/>
      <c r="K534" s="66"/>
      <c r="L534" s="66"/>
      <c r="M534" s="66"/>
      <c r="N534" s="66"/>
      <c r="O534" s="66"/>
      <c r="P534" s="64">
        <v>3500</v>
      </c>
      <c r="Q534" s="66"/>
      <c r="R534" s="66"/>
      <c r="S534" s="214"/>
      <c r="T534" s="219">
        <f t="shared" si="17"/>
        <v>3500</v>
      </c>
    </row>
    <row r="535" spans="1:20" ht="22.5">
      <c r="A535" s="17" t="s">
        <v>216</v>
      </c>
      <c r="B535" s="73">
        <v>1</v>
      </c>
      <c r="C535" s="67"/>
      <c r="D535" s="212">
        <v>12</v>
      </c>
      <c r="E535" s="218">
        <f t="shared" si="16"/>
        <v>42000</v>
      </c>
      <c r="F535" s="60" t="s">
        <v>166</v>
      </c>
      <c r="G535" s="66"/>
      <c r="H535" s="66"/>
      <c r="I535" s="66"/>
      <c r="J535" s="66"/>
      <c r="K535" s="66"/>
      <c r="L535" s="66"/>
      <c r="M535" s="66"/>
      <c r="N535" s="66"/>
      <c r="O535" s="66"/>
      <c r="P535" s="64">
        <v>3500</v>
      </c>
      <c r="Q535" s="66"/>
      <c r="R535" s="66"/>
      <c r="S535" s="214"/>
      <c r="T535" s="219">
        <f t="shared" si="17"/>
        <v>3500</v>
      </c>
    </row>
    <row r="536" spans="1:20" ht="22.5">
      <c r="A536" s="17" t="s">
        <v>216</v>
      </c>
      <c r="B536" s="73">
        <v>1</v>
      </c>
      <c r="C536" s="67"/>
      <c r="D536" s="212">
        <v>12</v>
      </c>
      <c r="E536" s="218">
        <f t="shared" si="16"/>
        <v>42000</v>
      </c>
      <c r="F536" s="60" t="s">
        <v>166</v>
      </c>
      <c r="G536" s="66"/>
      <c r="H536" s="66"/>
      <c r="I536" s="66"/>
      <c r="J536" s="66"/>
      <c r="K536" s="66"/>
      <c r="L536" s="66"/>
      <c r="M536" s="66"/>
      <c r="N536" s="66"/>
      <c r="O536" s="66"/>
      <c r="P536" s="64">
        <v>3500</v>
      </c>
      <c r="Q536" s="66"/>
      <c r="R536" s="66"/>
      <c r="S536" s="214"/>
      <c r="T536" s="219">
        <f t="shared" si="17"/>
        <v>3500</v>
      </c>
    </row>
    <row r="537" spans="1:20" ht="22.5">
      <c r="A537" s="17" t="s">
        <v>216</v>
      </c>
      <c r="B537" s="73">
        <v>1</v>
      </c>
      <c r="C537" s="67"/>
      <c r="D537" s="212">
        <v>12</v>
      </c>
      <c r="E537" s="218">
        <f t="shared" si="16"/>
        <v>42000</v>
      </c>
      <c r="F537" s="60" t="s">
        <v>166</v>
      </c>
      <c r="G537" s="66"/>
      <c r="H537" s="66"/>
      <c r="I537" s="66"/>
      <c r="J537" s="66"/>
      <c r="K537" s="66"/>
      <c r="L537" s="66"/>
      <c r="M537" s="66"/>
      <c r="N537" s="66"/>
      <c r="O537" s="66"/>
      <c r="P537" s="64">
        <v>3500</v>
      </c>
      <c r="Q537" s="66"/>
      <c r="R537" s="66"/>
      <c r="S537" s="214"/>
      <c r="T537" s="219">
        <f t="shared" si="17"/>
        <v>3500</v>
      </c>
    </row>
    <row r="538" spans="1:20" ht="22.5">
      <c r="A538" s="17" t="s">
        <v>216</v>
      </c>
      <c r="B538" s="73">
        <v>1</v>
      </c>
      <c r="C538" s="67"/>
      <c r="D538" s="212">
        <v>12</v>
      </c>
      <c r="E538" s="218">
        <f t="shared" si="16"/>
        <v>42000</v>
      </c>
      <c r="F538" s="60" t="s">
        <v>166</v>
      </c>
      <c r="G538" s="66"/>
      <c r="H538" s="66"/>
      <c r="I538" s="66"/>
      <c r="J538" s="66"/>
      <c r="K538" s="66"/>
      <c r="L538" s="66"/>
      <c r="M538" s="66"/>
      <c r="N538" s="66"/>
      <c r="O538" s="66"/>
      <c r="P538" s="64">
        <v>3500</v>
      </c>
      <c r="Q538" s="66"/>
      <c r="R538" s="66"/>
      <c r="S538" s="214"/>
      <c r="T538" s="219">
        <f t="shared" si="17"/>
        <v>3500</v>
      </c>
    </row>
    <row r="539" spans="1:20" ht="22.5">
      <c r="A539" s="17" t="s">
        <v>216</v>
      </c>
      <c r="B539" s="73">
        <v>1</v>
      </c>
      <c r="C539" s="67"/>
      <c r="D539" s="212">
        <v>12</v>
      </c>
      <c r="E539" s="218">
        <f t="shared" si="16"/>
        <v>42000</v>
      </c>
      <c r="F539" s="60" t="s">
        <v>166</v>
      </c>
      <c r="G539" s="66"/>
      <c r="H539" s="66"/>
      <c r="I539" s="66"/>
      <c r="J539" s="66"/>
      <c r="K539" s="66"/>
      <c r="L539" s="66"/>
      <c r="M539" s="66"/>
      <c r="N539" s="66"/>
      <c r="O539" s="66"/>
      <c r="P539" s="64">
        <v>3500</v>
      </c>
      <c r="Q539" s="66"/>
      <c r="R539" s="66"/>
      <c r="S539" s="214"/>
      <c r="T539" s="219">
        <f t="shared" si="17"/>
        <v>3500</v>
      </c>
    </row>
    <row r="540" spans="1:20" ht="22.5">
      <c r="A540" s="17" t="s">
        <v>216</v>
      </c>
      <c r="B540" s="73">
        <v>1</v>
      </c>
      <c r="C540" s="67"/>
      <c r="D540" s="212">
        <v>12</v>
      </c>
      <c r="E540" s="218">
        <f t="shared" si="16"/>
        <v>42000</v>
      </c>
      <c r="F540" s="60" t="s">
        <v>166</v>
      </c>
      <c r="G540" s="66"/>
      <c r="H540" s="66"/>
      <c r="I540" s="66"/>
      <c r="J540" s="66"/>
      <c r="K540" s="66"/>
      <c r="L540" s="66"/>
      <c r="M540" s="66"/>
      <c r="N540" s="66"/>
      <c r="O540" s="66"/>
      <c r="P540" s="64">
        <v>3500</v>
      </c>
      <c r="Q540" s="66"/>
      <c r="R540" s="66"/>
      <c r="S540" s="214"/>
      <c r="T540" s="219">
        <f t="shared" si="17"/>
        <v>3500</v>
      </c>
    </row>
    <row r="541" spans="1:20" ht="22.5">
      <c r="A541" s="17" t="s">
        <v>216</v>
      </c>
      <c r="B541" s="73">
        <v>1</v>
      </c>
      <c r="C541" s="67"/>
      <c r="D541" s="212">
        <v>12</v>
      </c>
      <c r="E541" s="218">
        <f t="shared" si="16"/>
        <v>42000</v>
      </c>
      <c r="F541" s="60" t="s">
        <v>166</v>
      </c>
      <c r="G541" s="66"/>
      <c r="H541" s="66"/>
      <c r="I541" s="66"/>
      <c r="J541" s="66"/>
      <c r="K541" s="66"/>
      <c r="L541" s="66"/>
      <c r="M541" s="66"/>
      <c r="N541" s="66"/>
      <c r="O541" s="66"/>
      <c r="P541" s="64">
        <v>3500</v>
      </c>
      <c r="Q541" s="66"/>
      <c r="R541" s="66"/>
      <c r="S541" s="214"/>
      <c r="T541" s="219">
        <f t="shared" si="17"/>
        <v>3500</v>
      </c>
    </row>
    <row r="542" spans="1:20" ht="22.5">
      <c r="A542" s="17" t="s">
        <v>216</v>
      </c>
      <c r="B542" s="73">
        <v>1</v>
      </c>
      <c r="C542" s="67"/>
      <c r="D542" s="212">
        <v>12</v>
      </c>
      <c r="E542" s="218">
        <f t="shared" si="16"/>
        <v>42000</v>
      </c>
      <c r="F542" s="60" t="s">
        <v>166</v>
      </c>
      <c r="G542" s="66"/>
      <c r="H542" s="66"/>
      <c r="I542" s="66"/>
      <c r="J542" s="66"/>
      <c r="K542" s="66"/>
      <c r="L542" s="66"/>
      <c r="M542" s="66"/>
      <c r="N542" s="66"/>
      <c r="O542" s="66"/>
      <c r="P542" s="64">
        <v>3500</v>
      </c>
      <c r="Q542" s="66"/>
      <c r="R542" s="66"/>
      <c r="S542" s="214"/>
      <c r="T542" s="219">
        <f t="shared" si="17"/>
        <v>3500</v>
      </c>
    </row>
    <row r="543" spans="1:20" ht="22.5">
      <c r="A543" s="17" t="s">
        <v>216</v>
      </c>
      <c r="B543" s="73">
        <v>1</v>
      </c>
      <c r="C543" s="67"/>
      <c r="D543" s="212">
        <v>12</v>
      </c>
      <c r="E543" s="218">
        <f t="shared" si="16"/>
        <v>42000</v>
      </c>
      <c r="F543" s="60" t="s">
        <v>166</v>
      </c>
      <c r="G543" s="66"/>
      <c r="H543" s="66"/>
      <c r="I543" s="66"/>
      <c r="J543" s="66"/>
      <c r="K543" s="66"/>
      <c r="L543" s="66"/>
      <c r="M543" s="66"/>
      <c r="N543" s="66"/>
      <c r="O543" s="66"/>
      <c r="P543" s="64">
        <v>3500</v>
      </c>
      <c r="Q543" s="66"/>
      <c r="R543" s="66"/>
      <c r="S543" s="214"/>
      <c r="T543" s="219">
        <f t="shared" si="17"/>
        <v>3500</v>
      </c>
    </row>
    <row r="544" spans="1:20" ht="22.5">
      <c r="A544" s="17" t="s">
        <v>216</v>
      </c>
      <c r="B544" s="73">
        <v>1</v>
      </c>
      <c r="C544" s="67"/>
      <c r="D544" s="212">
        <v>12</v>
      </c>
      <c r="E544" s="218">
        <f t="shared" si="16"/>
        <v>42000</v>
      </c>
      <c r="F544" s="60" t="s">
        <v>166</v>
      </c>
      <c r="G544" s="66"/>
      <c r="H544" s="66"/>
      <c r="I544" s="66"/>
      <c r="J544" s="66"/>
      <c r="K544" s="66"/>
      <c r="L544" s="66"/>
      <c r="M544" s="66"/>
      <c r="N544" s="66"/>
      <c r="O544" s="66"/>
      <c r="P544" s="64">
        <v>3500</v>
      </c>
      <c r="Q544" s="66"/>
      <c r="R544" s="66"/>
      <c r="S544" s="214"/>
      <c r="T544" s="219">
        <f t="shared" si="17"/>
        <v>3500</v>
      </c>
    </row>
    <row r="545" spans="1:20" ht="22.5">
      <c r="A545" s="17" t="s">
        <v>216</v>
      </c>
      <c r="B545" s="73">
        <v>1</v>
      </c>
      <c r="C545" s="67"/>
      <c r="D545" s="212">
        <v>12</v>
      </c>
      <c r="E545" s="218">
        <f t="shared" si="16"/>
        <v>42000</v>
      </c>
      <c r="F545" s="60" t="s">
        <v>166</v>
      </c>
      <c r="G545" s="66"/>
      <c r="H545" s="66"/>
      <c r="I545" s="66"/>
      <c r="J545" s="66"/>
      <c r="K545" s="66"/>
      <c r="L545" s="66"/>
      <c r="M545" s="66"/>
      <c r="N545" s="66"/>
      <c r="O545" s="66"/>
      <c r="P545" s="64">
        <v>3500</v>
      </c>
      <c r="Q545" s="66"/>
      <c r="R545" s="66"/>
      <c r="S545" s="214"/>
      <c r="T545" s="219">
        <f t="shared" si="17"/>
        <v>3500</v>
      </c>
    </row>
    <row r="546" spans="1:20" ht="45">
      <c r="A546" s="17" t="s">
        <v>290</v>
      </c>
      <c r="B546" s="73">
        <v>1</v>
      </c>
      <c r="C546" s="67"/>
      <c r="D546" s="212">
        <v>12</v>
      </c>
      <c r="E546" s="218">
        <f t="shared" si="16"/>
        <v>120000</v>
      </c>
      <c r="F546" s="60" t="s">
        <v>166</v>
      </c>
      <c r="G546" s="66"/>
      <c r="H546" s="66"/>
      <c r="I546" s="66"/>
      <c r="J546" s="66"/>
      <c r="K546" s="66"/>
      <c r="L546" s="66"/>
      <c r="M546" s="66"/>
      <c r="N546" s="66"/>
      <c r="O546" s="66"/>
      <c r="P546" s="64">
        <v>10000</v>
      </c>
      <c r="Q546" s="66"/>
      <c r="R546" s="66"/>
      <c r="S546" s="214"/>
      <c r="T546" s="219">
        <f t="shared" si="17"/>
        <v>10000</v>
      </c>
    </row>
    <row r="547" spans="1:20" ht="22.5">
      <c r="A547" s="17" t="s">
        <v>216</v>
      </c>
      <c r="B547" s="73">
        <v>1</v>
      </c>
      <c r="C547" s="67"/>
      <c r="D547" s="212">
        <v>12</v>
      </c>
      <c r="E547" s="218">
        <f t="shared" si="16"/>
        <v>42000</v>
      </c>
      <c r="F547" s="60" t="s">
        <v>166</v>
      </c>
      <c r="G547" s="66"/>
      <c r="H547" s="66"/>
      <c r="I547" s="66"/>
      <c r="J547" s="66"/>
      <c r="K547" s="66"/>
      <c r="L547" s="66"/>
      <c r="M547" s="66"/>
      <c r="N547" s="66"/>
      <c r="O547" s="66"/>
      <c r="P547" s="64">
        <v>3500</v>
      </c>
      <c r="Q547" s="66"/>
      <c r="R547" s="66"/>
      <c r="S547" s="214"/>
      <c r="T547" s="219">
        <f t="shared" si="17"/>
        <v>3500</v>
      </c>
    </row>
    <row r="548" spans="1:20" ht="22.5">
      <c r="A548" s="17" t="s">
        <v>216</v>
      </c>
      <c r="B548" s="73">
        <v>1</v>
      </c>
      <c r="C548" s="67"/>
      <c r="D548" s="212">
        <v>12</v>
      </c>
      <c r="E548" s="218">
        <f t="shared" si="16"/>
        <v>42000</v>
      </c>
      <c r="F548" s="60" t="s">
        <v>166</v>
      </c>
      <c r="G548" s="66"/>
      <c r="H548" s="66"/>
      <c r="I548" s="66"/>
      <c r="J548" s="66"/>
      <c r="K548" s="66"/>
      <c r="L548" s="66"/>
      <c r="M548" s="66"/>
      <c r="N548" s="66"/>
      <c r="O548" s="66"/>
      <c r="P548" s="64">
        <v>3500</v>
      </c>
      <c r="Q548" s="66"/>
      <c r="R548" s="66"/>
      <c r="S548" s="214"/>
      <c r="T548" s="219">
        <f t="shared" si="17"/>
        <v>3500</v>
      </c>
    </row>
    <row r="549" spans="1:20" ht="22.5">
      <c r="A549" s="17" t="s">
        <v>216</v>
      </c>
      <c r="B549" s="73">
        <v>1</v>
      </c>
      <c r="C549" s="67"/>
      <c r="D549" s="212">
        <v>12</v>
      </c>
      <c r="E549" s="218">
        <f t="shared" si="16"/>
        <v>42000</v>
      </c>
      <c r="F549" s="60" t="s">
        <v>166</v>
      </c>
      <c r="G549" s="66"/>
      <c r="H549" s="66"/>
      <c r="I549" s="66"/>
      <c r="J549" s="66"/>
      <c r="K549" s="66"/>
      <c r="L549" s="66"/>
      <c r="M549" s="66"/>
      <c r="N549" s="66"/>
      <c r="O549" s="66"/>
      <c r="P549" s="64">
        <v>3500</v>
      </c>
      <c r="Q549" s="66"/>
      <c r="R549" s="66"/>
      <c r="S549" s="214"/>
      <c r="T549" s="219">
        <f t="shared" si="17"/>
        <v>3500</v>
      </c>
    </row>
    <row r="550" spans="1:20" ht="22.5">
      <c r="A550" s="17" t="s">
        <v>216</v>
      </c>
      <c r="B550" s="73">
        <v>1</v>
      </c>
      <c r="C550" s="67"/>
      <c r="D550" s="212">
        <v>12</v>
      </c>
      <c r="E550" s="218">
        <f t="shared" si="16"/>
        <v>42000</v>
      </c>
      <c r="F550" s="60" t="s">
        <v>166</v>
      </c>
      <c r="G550" s="66"/>
      <c r="H550" s="66"/>
      <c r="I550" s="66"/>
      <c r="J550" s="66"/>
      <c r="K550" s="66"/>
      <c r="L550" s="66"/>
      <c r="M550" s="66"/>
      <c r="N550" s="66"/>
      <c r="O550" s="66"/>
      <c r="P550" s="64">
        <v>3500</v>
      </c>
      <c r="Q550" s="66"/>
      <c r="R550" s="66"/>
      <c r="S550" s="214"/>
      <c r="T550" s="219">
        <f t="shared" si="17"/>
        <v>3500</v>
      </c>
    </row>
    <row r="551" spans="1:20" ht="22.5">
      <c r="A551" s="17" t="s">
        <v>216</v>
      </c>
      <c r="B551" s="73">
        <v>1</v>
      </c>
      <c r="C551" s="67"/>
      <c r="D551" s="212">
        <v>12</v>
      </c>
      <c r="E551" s="218">
        <f t="shared" si="16"/>
        <v>42000</v>
      </c>
      <c r="F551" s="60" t="s">
        <v>166</v>
      </c>
      <c r="G551" s="66"/>
      <c r="H551" s="66"/>
      <c r="I551" s="66"/>
      <c r="J551" s="66"/>
      <c r="K551" s="66"/>
      <c r="L551" s="66"/>
      <c r="M551" s="66"/>
      <c r="N551" s="66"/>
      <c r="O551" s="66"/>
      <c r="P551" s="64">
        <v>3500</v>
      </c>
      <c r="Q551" s="66"/>
      <c r="R551" s="66"/>
      <c r="S551" s="214"/>
      <c r="T551" s="219">
        <f t="shared" si="17"/>
        <v>3500</v>
      </c>
    </row>
    <row r="552" spans="1:20" ht="22.5">
      <c r="A552" s="17" t="s">
        <v>216</v>
      </c>
      <c r="B552" s="73">
        <v>1</v>
      </c>
      <c r="C552" s="67"/>
      <c r="D552" s="212">
        <v>12</v>
      </c>
      <c r="E552" s="218">
        <f t="shared" si="16"/>
        <v>42000</v>
      </c>
      <c r="F552" s="60" t="s">
        <v>166</v>
      </c>
      <c r="G552" s="66"/>
      <c r="H552" s="66"/>
      <c r="I552" s="66"/>
      <c r="J552" s="66"/>
      <c r="K552" s="66"/>
      <c r="L552" s="66"/>
      <c r="M552" s="66"/>
      <c r="N552" s="66"/>
      <c r="O552" s="66"/>
      <c r="P552" s="64">
        <v>3500</v>
      </c>
      <c r="Q552" s="66"/>
      <c r="R552" s="66"/>
      <c r="S552" s="214"/>
      <c r="T552" s="219">
        <f t="shared" si="17"/>
        <v>3500</v>
      </c>
    </row>
    <row r="553" spans="1:20" ht="22.5">
      <c r="A553" s="17" t="s">
        <v>216</v>
      </c>
      <c r="B553" s="73">
        <v>1</v>
      </c>
      <c r="C553" s="67"/>
      <c r="D553" s="212">
        <v>12</v>
      </c>
      <c r="E553" s="218">
        <f t="shared" si="16"/>
        <v>42000</v>
      </c>
      <c r="F553" s="60" t="s">
        <v>166</v>
      </c>
      <c r="G553" s="66"/>
      <c r="H553" s="66"/>
      <c r="I553" s="66"/>
      <c r="J553" s="66"/>
      <c r="K553" s="66"/>
      <c r="L553" s="66"/>
      <c r="M553" s="66"/>
      <c r="N553" s="66"/>
      <c r="O553" s="66"/>
      <c r="P553" s="64">
        <v>3500</v>
      </c>
      <c r="Q553" s="66"/>
      <c r="R553" s="66"/>
      <c r="S553" s="214"/>
      <c r="T553" s="219">
        <f t="shared" si="17"/>
        <v>3500</v>
      </c>
    </row>
    <row r="554" spans="1:20" ht="22.5">
      <c r="A554" s="17" t="s">
        <v>216</v>
      </c>
      <c r="B554" s="73">
        <v>1</v>
      </c>
      <c r="C554" s="67"/>
      <c r="D554" s="212">
        <v>12</v>
      </c>
      <c r="E554" s="218">
        <f t="shared" si="16"/>
        <v>42000</v>
      </c>
      <c r="F554" s="60" t="s">
        <v>166</v>
      </c>
      <c r="G554" s="66"/>
      <c r="H554" s="66"/>
      <c r="I554" s="66"/>
      <c r="J554" s="66"/>
      <c r="K554" s="66"/>
      <c r="L554" s="66"/>
      <c r="M554" s="66"/>
      <c r="N554" s="66"/>
      <c r="O554" s="66"/>
      <c r="P554" s="64">
        <v>3500</v>
      </c>
      <c r="Q554" s="66"/>
      <c r="R554" s="66"/>
      <c r="S554" s="214"/>
      <c r="T554" s="219">
        <f t="shared" si="17"/>
        <v>3500</v>
      </c>
    </row>
    <row r="555" spans="1:20" ht="22.5">
      <c r="A555" s="17" t="s">
        <v>216</v>
      </c>
      <c r="B555" s="73">
        <v>1</v>
      </c>
      <c r="C555" s="67"/>
      <c r="D555" s="212">
        <v>12</v>
      </c>
      <c r="E555" s="218">
        <f t="shared" si="16"/>
        <v>42000</v>
      </c>
      <c r="F555" s="60" t="s">
        <v>166</v>
      </c>
      <c r="G555" s="66"/>
      <c r="H555" s="66"/>
      <c r="I555" s="66"/>
      <c r="J555" s="66"/>
      <c r="K555" s="66"/>
      <c r="L555" s="66"/>
      <c r="M555" s="66"/>
      <c r="N555" s="66"/>
      <c r="O555" s="66"/>
      <c r="P555" s="64">
        <v>3500</v>
      </c>
      <c r="Q555" s="66"/>
      <c r="R555" s="66"/>
      <c r="S555" s="214"/>
      <c r="T555" s="219">
        <f t="shared" si="17"/>
        <v>3500</v>
      </c>
    </row>
    <row r="556" spans="1:20" ht="22.5">
      <c r="A556" s="17" t="s">
        <v>216</v>
      </c>
      <c r="B556" s="73">
        <v>1</v>
      </c>
      <c r="C556" s="67"/>
      <c r="D556" s="212">
        <v>12</v>
      </c>
      <c r="E556" s="218">
        <f t="shared" si="16"/>
        <v>48000</v>
      </c>
      <c r="F556" s="60" t="s">
        <v>166</v>
      </c>
      <c r="G556" s="66"/>
      <c r="H556" s="66"/>
      <c r="I556" s="66"/>
      <c r="J556" s="66"/>
      <c r="K556" s="66"/>
      <c r="L556" s="66"/>
      <c r="M556" s="66"/>
      <c r="N556" s="66"/>
      <c r="O556" s="66"/>
      <c r="P556" s="64">
        <v>4000</v>
      </c>
      <c r="Q556" s="66"/>
      <c r="R556" s="66"/>
      <c r="S556" s="214"/>
      <c r="T556" s="219">
        <f t="shared" si="17"/>
        <v>4000</v>
      </c>
    </row>
    <row r="557" spans="1:20" ht="22.5">
      <c r="A557" s="17" t="s">
        <v>216</v>
      </c>
      <c r="B557" s="73">
        <v>1</v>
      </c>
      <c r="C557" s="67"/>
      <c r="D557" s="212">
        <v>12</v>
      </c>
      <c r="E557" s="218">
        <f t="shared" si="16"/>
        <v>42000</v>
      </c>
      <c r="F557" s="60" t="s">
        <v>166</v>
      </c>
      <c r="G557" s="66"/>
      <c r="H557" s="66"/>
      <c r="I557" s="66"/>
      <c r="J557" s="66"/>
      <c r="K557" s="66"/>
      <c r="L557" s="66"/>
      <c r="M557" s="66"/>
      <c r="N557" s="66"/>
      <c r="O557" s="66"/>
      <c r="P557" s="64">
        <v>3500</v>
      </c>
      <c r="Q557" s="66"/>
      <c r="R557" s="66"/>
      <c r="S557" s="214"/>
      <c r="T557" s="219">
        <f t="shared" si="17"/>
        <v>3500</v>
      </c>
    </row>
    <row r="558" spans="1:20" ht="22.5">
      <c r="A558" s="17" t="s">
        <v>216</v>
      </c>
      <c r="B558" s="73">
        <v>1</v>
      </c>
      <c r="C558" s="67"/>
      <c r="D558" s="212">
        <v>12</v>
      </c>
      <c r="E558" s="218">
        <f t="shared" si="16"/>
        <v>42000</v>
      </c>
      <c r="F558" s="60" t="s">
        <v>166</v>
      </c>
      <c r="G558" s="66"/>
      <c r="H558" s="66"/>
      <c r="I558" s="66"/>
      <c r="J558" s="66"/>
      <c r="K558" s="66"/>
      <c r="L558" s="66"/>
      <c r="M558" s="66"/>
      <c r="N558" s="66"/>
      <c r="O558" s="66"/>
      <c r="P558" s="64">
        <v>3500</v>
      </c>
      <c r="Q558" s="66"/>
      <c r="R558" s="66"/>
      <c r="S558" s="214"/>
      <c r="T558" s="219">
        <f t="shared" si="17"/>
        <v>3500</v>
      </c>
    </row>
    <row r="559" spans="1:20" ht="22.5">
      <c r="A559" s="17" t="s">
        <v>216</v>
      </c>
      <c r="B559" s="73">
        <v>1</v>
      </c>
      <c r="C559" s="67"/>
      <c r="D559" s="212">
        <v>12</v>
      </c>
      <c r="E559" s="218">
        <f t="shared" si="16"/>
        <v>42000</v>
      </c>
      <c r="F559" s="60" t="s">
        <v>166</v>
      </c>
      <c r="G559" s="66"/>
      <c r="H559" s="66"/>
      <c r="I559" s="66"/>
      <c r="J559" s="66"/>
      <c r="K559" s="66"/>
      <c r="L559" s="66"/>
      <c r="M559" s="66"/>
      <c r="N559" s="66"/>
      <c r="O559" s="66"/>
      <c r="P559" s="64">
        <v>3500</v>
      </c>
      <c r="Q559" s="66"/>
      <c r="R559" s="66"/>
      <c r="S559" s="214"/>
      <c r="T559" s="219">
        <f t="shared" si="17"/>
        <v>3500</v>
      </c>
    </row>
    <row r="560" spans="1:20" ht="22.5">
      <c r="A560" s="17" t="s">
        <v>216</v>
      </c>
      <c r="B560" s="73">
        <v>1</v>
      </c>
      <c r="C560" s="67"/>
      <c r="D560" s="212">
        <v>12</v>
      </c>
      <c r="E560" s="218">
        <f t="shared" si="16"/>
        <v>42000</v>
      </c>
      <c r="F560" s="60" t="s">
        <v>166</v>
      </c>
      <c r="G560" s="66"/>
      <c r="H560" s="66"/>
      <c r="I560" s="66"/>
      <c r="J560" s="66"/>
      <c r="K560" s="66"/>
      <c r="L560" s="66"/>
      <c r="M560" s="66"/>
      <c r="N560" s="66"/>
      <c r="O560" s="66"/>
      <c r="P560" s="64">
        <v>3500</v>
      </c>
      <c r="Q560" s="66"/>
      <c r="R560" s="66"/>
      <c r="S560" s="214"/>
      <c r="T560" s="219">
        <f t="shared" si="17"/>
        <v>3500</v>
      </c>
    </row>
    <row r="561" spans="1:20" ht="22.5">
      <c r="A561" s="17" t="s">
        <v>216</v>
      </c>
      <c r="B561" s="73">
        <v>1</v>
      </c>
      <c r="C561" s="67"/>
      <c r="D561" s="212">
        <v>12</v>
      </c>
      <c r="E561" s="218">
        <f t="shared" si="16"/>
        <v>42000</v>
      </c>
      <c r="F561" s="60" t="s">
        <v>166</v>
      </c>
      <c r="G561" s="66"/>
      <c r="H561" s="66"/>
      <c r="I561" s="66"/>
      <c r="J561" s="66"/>
      <c r="K561" s="66"/>
      <c r="L561" s="66"/>
      <c r="M561" s="66"/>
      <c r="N561" s="66"/>
      <c r="O561" s="66"/>
      <c r="P561" s="64">
        <v>3500</v>
      </c>
      <c r="Q561" s="66"/>
      <c r="R561" s="66"/>
      <c r="S561" s="214"/>
      <c r="T561" s="219">
        <f t="shared" si="17"/>
        <v>3500</v>
      </c>
    </row>
    <row r="562" spans="1:20" ht="22.5">
      <c r="A562" s="17" t="s">
        <v>216</v>
      </c>
      <c r="B562" s="73">
        <v>1</v>
      </c>
      <c r="C562" s="67"/>
      <c r="D562" s="212">
        <v>12</v>
      </c>
      <c r="E562" s="218">
        <f t="shared" si="16"/>
        <v>42000</v>
      </c>
      <c r="F562" s="60" t="s">
        <v>166</v>
      </c>
      <c r="G562" s="66"/>
      <c r="H562" s="66"/>
      <c r="I562" s="66"/>
      <c r="J562" s="66"/>
      <c r="K562" s="66"/>
      <c r="L562" s="66"/>
      <c r="M562" s="66"/>
      <c r="N562" s="66"/>
      <c r="O562" s="66"/>
      <c r="P562" s="64">
        <v>3500</v>
      </c>
      <c r="Q562" s="66"/>
      <c r="R562" s="66"/>
      <c r="S562" s="214"/>
      <c r="T562" s="219">
        <f t="shared" si="17"/>
        <v>3500</v>
      </c>
    </row>
    <row r="563" spans="1:20" ht="22.5">
      <c r="A563" s="17" t="s">
        <v>216</v>
      </c>
      <c r="B563" s="73">
        <v>1</v>
      </c>
      <c r="C563" s="67"/>
      <c r="D563" s="212">
        <v>12</v>
      </c>
      <c r="E563" s="218">
        <f t="shared" si="16"/>
        <v>42000</v>
      </c>
      <c r="F563" s="60" t="s">
        <v>166</v>
      </c>
      <c r="G563" s="66"/>
      <c r="H563" s="66"/>
      <c r="I563" s="66"/>
      <c r="J563" s="66"/>
      <c r="K563" s="66"/>
      <c r="L563" s="66"/>
      <c r="M563" s="66"/>
      <c r="N563" s="66"/>
      <c r="O563" s="66"/>
      <c r="P563" s="64">
        <v>3500</v>
      </c>
      <c r="Q563" s="66"/>
      <c r="R563" s="66"/>
      <c r="S563" s="214"/>
      <c r="T563" s="219">
        <f t="shared" si="17"/>
        <v>3500</v>
      </c>
    </row>
    <row r="564" spans="1:20" ht="22.5">
      <c r="A564" s="17" t="s">
        <v>216</v>
      </c>
      <c r="B564" s="73">
        <v>1</v>
      </c>
      <c r="C564" s="67"/>
      <c r="D564" s="212">
        <v>12</v>
      </c>
      <c r="E564" s="218">
        <f t="shared" si="16"/>
        <v>42000</v>
      </c>
      <c r="F564" s="60" t="s">
        <v>166</v>
      </c>
      <c r="G564" s="66"/>
      <c r="H564" s="66"/>
      <c r="I564" s="66"/>
      <c r="J564" s="66"/>
      <c r="K564" s="66"/>
      <c r="L564" s="66"/>
      <c r="M564" s="66"/>
      <c r="N564" s="66"/>
      <c r="O564" s="66"/>
      <c r="P564" s="64">
        <v>3500</v>
      </c>
      <c r="Q564" s="66"/>
      <c r="R564" s="66"/>
      <c r="S564" s="214"/>
      <c r="T564" s="219">
        <f t="shared" si="17"/>
        <v>3500</v>
      </c>
    </row>
    <row r="565" spans="1:20" ht="22.5">
      <c r="A565" s="17" t="s">
        <v>216</v>
      </c>
      <c r="B565" s="73">
        <v>1</v>
      </c>
      <c r="C565" s="67"/>
      <c r="D565" s="212">
        <v>12</v>
      </c>
      <c r="E565" s="218">
        <f t="shared" si="16"/>
        <v>42000</v>
      </c>
      <c r="F565" s="60" t="s">
        <v>166</v>
      </c>
      <c r="G565" s="66"/>
      <c r="H565" s="66"/>
      <c r="I565" s="66"/>
      <c r="J565" s="66"/>
      <c r="K565" s="66"/>
      <c r="L565" s="66"/>
      <c r="M565" s="66"/>
      <c r="N565" s="66"/>
      <c r="O565" s="66"/>
      <c r="P565" s="64">
        <v>3500</v>
      </c>
      <c r="Q565" s="66"/>
      <c r="R565" s="66"/>
      <c r="S565" s="214"/>
      <c r="T565" s="219">
        <f t="shared" si="17"/>
        <v>3500</v>
      </c>
    </row>
    <row r="566" spans="1:20" ht="33.75">
      <c r="A566" s="17" t="s">
        <v>286</v>
      </c>
      <c r="B566" s="73">
        <v>1</v>
      </c>
      <c r="C566" s="67"/>
      <c r="D566" s="212">
        <v>12</v>
      </c>
      <c r="E566" s="218">
        <f t="shared" si="16"/>
        <v>120000</v>
      </c>
      <c r="F566" s="60" t="s">
        <v>166</v>
      </c>
      <c r="G566" s="66"/>
      <c r="H566" s="66"/>
      <c r="I566" s="66"/>
      <c r="J566" s="66"/>
      <c r="K566" s="66"/>
      <c r="L566" s="66"/>
      <c r="M566" s="66"/>
      <c r="N566" s="66"/>
      <c r="O566" s="66"/>
      <c r="P566" s="64">
        <v>10000</v>
      </c>
      <c r="Q566" s="66"/>
      <c r="R566" s="66"/>
      <c r="S566" s="214"/>
      <c r="T566" s="219">
        <f t="shared" si="17"/>
        <v>10000</v>
      </c>
    </row>
    <row r="567" spans="1:20" ht="33.75">
      <c r="A567" s="17" t="s">
        <v>291</v>
      </c>
      <c r="B567" s="73">
        <v>1</v>
      </c>
      <c r="C567" s="67"/>
      <c r="D567" s="212">
        <v>12</v>
      </c>
      <c r="E567" s="218">
        <f t="shared" si="16"/>
        <v>96000</v>
      </c>
      <c r="F567" s="60" t="s">
        <v>166</v>
      </c>
      <c r="G567" s="66"/>
      <c r="H567" s="66"/>
      <c r="I567" s="66"/>
      <c r="J567" s="66"/>
      <c r="K567" s="66"/>
      <c r="L567" s="66"/>
      <c r="M567" s="66"/>
      <c r="N567" s="66"/>
      <c r="O567" s="66"/>
      <c r="P567" s="64">
        <v>8000</v>
      </c>
      <c r="Q567" s="66"/>
      <c r="R567" s="66"/>
      <c r="S567" s="214"/>
      <c r="T567" s="219">
        <f t="shared" si="17"/>
        <v>8000</v>
      </c>
    </row>
    <row r="568" spans="1:20" ht="33.75">
      <c r="A568" s="17" t="s">
        <v>219</v>
      </c>
      <c r="B568" s="73">
        <v>1</v>
      </c>
      <c r="C568" s="67"/>
      <c r="D568" s="212">
        <v>12</v>
      </c>
      <c r="E568" s="218">
        <f t="shared" si="16"/>
        <v>42000</v>
      </c>
      <c r="F568" s="60" t="s">
        <v>166</v>
      </c>
      <c r="G568" s="66"/>
      <c r="H568" s="66"/>
      <c r="I568" s="66"/>
      <c r="J568" s="66"/>
      <c r="K568" s="66"/>
      <c r="L568" s="66"/>
      <c r="M568" s="66"/>
      <c r="N568" s="66"/>
      <c r="O568" s="66"/>
      <c r="P568" s="64">
        <v>3500</v>
      </c>
      <c r="Q568" s="66"/>
      <c r="R568" s="66"/>
      <c r="S568" s="214"/>
      <c r="T568" s="219">
        <f t="shared" si="17"/>
        <v>3500</v>
      </c>
    </row>
    <row r="569" spans="1:20" ht="33.75">
      <c r="A569" s="17" t="s">
        <v>220</v>
      </c>
      <c r="B569" s="73">
        <v>1</v>
      </c>
      <c r="C569" s="67"/>
      <c r="D569" s="212">
        <v>12</v>
      </c>
      <c r="E569" s="218">
        <f t="shared" si="16"/>
        <v>36000</v>
      </c>
      <c r="F569" s="60" t="s">
        <v>166</v>
      </c>
      <c r="G569" s="66"/>
      <c r="H569" s="66"/>
      <c r="I569" s="66"/>
      <c r="J569" s="66"/>
      <c r="K569" s="66"/>
      <c r="L569" s="66"/>
      <c r="M569" s="66"/>
      <c r="N569" s="66"/>
      <c r="O569" s="66"/>
      <c r="P569" s="64">
        <v>3000</v>
      </c>
      <c r="Q569" s="66"/>
      <c r="R569" s="66"/>
      <c r="S569" s="214"/>
      <c r="T569" s="219">
        <f t="shared" si="17"/>
        <v>3000</v>
      </c>
    </row>
    <row r="570" spans="1:20" ht="45">
      <c r="A570" s="17" t="s">
        <v>221</v>
      </c>
      <c r="B570" s="73">
        <v>1</v>
      </c>
      <c r="C570" s="67"/>
      <c r="D570" s="212">
        <v>12</v>
      </c>
      <c r="E570" s="218">
        <f t="shared" si="16"/>
        <v>42000</v>
      </c>
      <c r="F570" s="60" t="s">
        <v>166</v>
      </c>
      <c r="G570" s="66"/>
      <c r="H570" s="66"/>
      <c r="I570" s="66"/>
      <c r="J570" s="66"/>
      <c r="K570" s="66"/>
      <c r="L570" s="66"/>
      <c r="M570" s="66"/>
      <c r="N570" s="66"/>
      <c r="O570" s="66"/>
      <c r="P570" s="64">
        <v>3500</v>
      </c>
      <c r="Q570" s="66"/>
      <c r="R570" s="66"/>
      <c r="S570" s="214"/>
      <c r="T570" s="219">
        <f t="shared" si="17"/>
        <v>3500</v>
      </c>
    </row>
    <row r="571" spans="1:20" ht="45">
      <c r="A571" s="17" t="s">
        <v>221</v>
      </c>
      <c r="B571" s="73">
        <v>1</v>
      </c>
      <c r="C571" s="67"/>
      <c r="D571" s="212">
        <v>12</v>
      </c>
      <c r="E571" s="218">
        <f t="shared" si="16"/>
        <v>42000</v>
      </c>
      <c r="F571" s="60" t="s">
        <v>166</v>
      </c>
      <c r="G571" s="66"/>
      <c r="H571" s="66"/>
      <c r="I571" s="66"/>
      <c r="J571" s="66"/>
      <c r="K571" s="66"/>
      <c r="L571" s="66"/>
      <c r="M571" s="66"/>
      <c r="N571" s="66"/>
      <c r="O571" s="66"/>
      <c r="P571" s="64">
        <v>3500</v>
      </c>
      <c r="Q571" s="66"/>
      <c r="R571" s="66"/>
      <c r="S571" s="214"/>
      <c r="T571" s="219">
        <f t="shared" si="17"/>
        <v>3500</v>
      </c>
    </row>
    <row r="572" spans="1:20" ht="45">
      <c r="A572" s="17" t="s">
        <v>292</v>
      </c>
      <c r="B572" s="73">
        <v>1</v>
      </c>
      <c r="C572" s="67"/>
      <c r="D572" s="212">
        <v>12</v>
      </c>
      <c r="E572" s="218">
        <f t="shared" si="16"/>
        <v>48000</v>
      </c>
      <c r="F572" s="60" t="s">
        <v>166</v>
      </c>
      <c r="G572" s="66"/>
      <c r="H572" s="66"/>
      <c r="I572" s="66"/>
      <c r="J572" s="66"/>
      <c r="K572" s="66"/>
      <c r="L572" s="66"/>
      <c r="M572" s="66"/>
      <c r="N572" s="66"/>
      <c r="O572" s="66"/>
      <c r="P572" s="64">
        <v>4000</v>
      </c>
      <c r="Q572" s="66"/>
      <c r="R572" s="66"/>
      <c r="S572" s="214"/>
      <c r="T572" s="219">
        <f t="shared" si="17"/>
        <v>4000</v>
      </c>
    </row>
    <row r="573" spans="1:20" ht="45">
      <c r="A573" s="17" t="s">
        <v>222</v>
      </c>
      <c r="B573" s="73">
        <v>1</v>
      </c>
      <c r="C573" s="67"/>
      <c r="D573" s="212">
        <v>12</v>
      </c>
      <c r="E573" s="218">
        <f t="shared" si="16"/>
        <v>36000</v>
      </c>
      <c r="F573" s="60" t="s">
        <v>166</v>
      </c>
      <c r="G573" s="66"/>
      <c r="H573" s="66"/>
      <c r="I573" s="66"/>
      <c r="J573" s="66"/>
      <c r="K573" s="66"/>
      <c r="L573" s="66"/>
      <c r="M573" s="66"/>
      <c r="N573" s="66"/>
      <c r="O573" s="66"/>
      <c r="P573" s="64">
        <v>3000</v>
      </c>
      <c r="Q573" s="66"/>
      <c r="R573" s="66"/>
      <c r="S573" s="214"/>
      <c r="T573" s="219">
        <f t="shared" si="17"/>
        <v>3000</v>
      </c>
    </row>
    <row r="574" spans="1:20" ht="45">
      <c r="A574" s="17" t="s">
        <v>222</v>
      </c>
      <c r="B574" s="73">
        <v>1</v>
      </c>
      <c r="C574" s="67"/>
      <c r="D574" s="212">
        <v>12</v>
      </c>
      <c r="E574" s="218">
        <f t="shared" si="16"/>
        <v>36000</v>
      </c>
      <c r="F574" s="60" t="s">
        <v>166</v>
      </c>
      <c r="G574" s="66"/>
      <c r="H574" s="66"/>
      <c r="I574" s="66"/>
      <c r="J574" s="66"/>
      <c r="K574" s="66"/>
      <c r="L574" s="66"/>
      <c r="M574" s="66"/>
      <c r="N574" s="66"/>
      <c r="O574" s="66"/>
      <c r="P574" s="64">
        <v>3000</v>
      </c>
      <c r="Q574" s="66"/>
      <c r="R574" s="66"/>
      <c r="S574" s="214"/>
      <c r="T574" s="219">
        <f t="shared" si="17"/>
        <v>3000</v>
      </c>
    </row>
    <row r="575" spans="1:20" ht="45">
      <c r="A575" s="17" t="s">
        <v>222</v>
      </c>
      <c r="B575" s="73">
        <v>1</v>
      </c>
      <c r="C575" s="67"/>
      <c r="D575" s="212">
        <v>12</v>
      </c>
      <c r="E575" s="218">
        <f t="shared" si="16"/>
        <v>36000</v>
      </c>
      <c r="F575" s="60" t="s">
        <v>166</v>
      </c>
      <c r="G575" s="66"/>
      <c r="H575" s="66"/>
      <c r="I575" s="66"/>
      <c r="J575" s="66"/>
      <c r="K575" s="66"/>
      <c r="L575" s="66"/>
      <c r="M575" s="66"/>
      <c r="N575" s="66"/>
      <c r="O575" s="66"/>
      <c r="P575" s="64">
        <v>3000</v>
      </c>
      <c r="Q575" s="66"/>
      <c r="R575" s="66"/>
      <c r="S575" s="214"/>
      <c r="T575" s="219">
        <f t="shared" si="17"/>
        <v>3000</v>
      </c>
    </row>
    <row r="576" spans="1:20" ht="45">
      <c r="A576" s="17" t="s">
        <v>222</v>
      </c>
      <c r="B576" s="73">
        <v>1</v>
      </c>
      <c r="C576" s="67"/>
      <c r="D576" s="212">
        <v>12</v>
      </c>
      <c r="E576" s="218">
        <f t="shared" si="16"/>
        <v>36000</v>
      </c>
      <c r="F576" s="60" t="s">
        <v>166</v>
      </c>
      <c r="G576" s="66"/>
      <c r="H576" s="66"/>
      <c r="I576" s="66"/>
      <c r="J576" s="66"/>
      <c r="K576" s="66"/>
      <c r="L576" s="66"/>
      <c r="M576" s="66"/>
      <c r="N576" s="66"/>
      <c r="O576" s="66"/>
      <c r="P576" s="64">
        <v>3000</v>
      </c>
      <c r="Q576" s="66"/>
      <c r="R576" s="66"/>
      <c r="S576" s="214"/>
      <c r="T576" s="219">
        <f t="shared" si="17"/>
        <v>3000</v>
      </c>
    </row>
    <row r="577" spans="1:20" ht="45">
      <c r="A577" s="17" t="s">
        <v>226</v>
      </c>
      <c r="B577" s="73">
        <v>1</v>
      </c>
      <c r="C577" s="67"/>
      <c r="D577" s="212">
        <v>12</v>
      </c>
      <c r="E577" s="218">
        <f t="shared" si="16"/>
        <v>72000</v>
      </c>
      <c r="F577" s="60" t="s">
        <v>166</v>
      </c>
      <c r="G577" s="66"/>
      <c r="H577" s="66"/>
      <c r="I577" s="66"/>
      <c r="J577" s="66"/>
      <c r="K577" s="66"/>
      <c r="L577" s="66"/>
      <c r="M577" s="66"/>
      <c r="N577" s="66"/>
      <c r="O577" s="66"/>
      <c r="P577" s="64">
        <v>6000</v>
      </c>
      <c r="Q577" s="66"/>
      <c r="R577" s="66"/>
      <c r="S577" s="214"/>
      <c r="T577" s="219">
        <f t="shared" si="17"/>
        <v>6000</v>
      </c>
    </row>
    <row r="578" spans="1:20" ht="45">
      <c r="A578" s="17" t="s">
        <v>226</v>
      </c>
      <c r="B578" s="73">
        <v>1</v>
      </c>
      <c r="C578" s="67"/>
      <c r="D578" s="212">
        <v>12</v>
      </c>
      <c r="E578" s="218">
        <f t="shared" si="16"/>
        <v>60000</v>
      </c>
      <c r="F578" s="60" t="s">
        <v>166</v>
      </c>
      <c r="G578" s="66"/>
      <c r="H578" s="66"/>
      <c r="I578" s="66"/>
      <c r="J578" s="66"/>
      <c r="K578" s="66"/>
      <c r="L578" s="66"/>
      <c r="M578" s="66"/>
      <c r="N578" s="66"/>
      <c r="O578" s="66"/>
      <c r="P578" s="64">
        <v>5000</v>
      </c>
      <c r="Q578" s="66"/>
      <c r="R578" s="66"/>
      <c r="S578" s="214"/>
      <c r="T578" s="219">
        <f t="shared" si="17"/>
        <v>5000</v>
      </c>
    </row>
    <row r="579" spans="1:20" ht="33.75">
      <c r="A579" s="17" t="s">
        <v>227</v>
      </c>
      <c r="B579" s="73">
        <v>1</v>
      </c>
      <c r="C579" s="67"/>
      <c r="D579" s="212">
        <v>12</v>
      </c>
      <c r="E579" s="218">
        <f t="shared" si="16"/>
        <v>42000</v>
      </c>
      <c r="F579" s="60" t="s">
        <v>166</v>
      </c>
      <c r="G579" s="66"/>
      <c r="H579" s="66"/>
      <c r="I579" s="66"/>
      <c r="J579" s="66"/>
      <c r="K579" s="66"/>
      <c r="L579" s="66"/>
      <c r="M579" s="66"/>
      <c r="N579" s="66"/>
      <c r="O579" s="66"/>
      <c r="P579" s="64">
        <v>3500</v>
      </c>
      <c r="Q579" s="66"/>
      <c r="R579" s="66"/>
      <c r="S579" s="214"/>
      <c r="T579" s="219">
        <f t="shared" si="17"/>
        <v>3500</v>
      </c>
    </row>
    <row r="580" spans="1:20" ht="45">
      <c r="A580" s="17" t="s">
        <v>228</v>
      </c>
      <c r="B580" s="73">
        <v>1</v>
      </c>
      <c r="C580" s="67"/>
      <c r="D580" s="212">
        <v>12</v>
      </c>
      <c r="E580" s="218">
        <f t="shared" si="16"/>
        <v>108000</v>
      </c>
      <c r="F580" s="60" t="s">
        <v>166</v>
      </c>
      <c r="G580" s="66"/>
      <c r="H580" s="66"/>
      <c r="I580" s="66"/>
      <c r="J580" s="66"/>
      <c r="K580" s="66"/>
      <c r="L580" s="66"/>
      <c r="M580" s="66"/>
      <c r="N580" s="66"/>
      <c r="O580" s="66"/>
      <c r="P580" s="64">
        <v>9000</v>
      </c>
      <c r="Q580" s="66"/>
      <c r="R580" s="66"/>
      <c r="S580" s="214"/>
      <c r="T580" s="219">
        <f t="shared" si="17"/>
        <v>9000</v>
      </c>
    </row>
    <row r="581" spans="1:20" ht="45">
      <c r="A581" s="17" t="s">
        <v>228</v>
      </c>
      <c r="B581" s="73">
        <v>1</v>
      </c>
      <c r="C581" s="67"/>
      <c r="D581" s="212">
        <v>12</v>
      </c>
      <c r="E581" s="218">
        <f t="shared" si="16"/>
        <v>102000</v>
      </c>
      <c r="F581" s="60" t="s">
        <v>166</v>
      </c>
      <c r="G581" s="66"/>
      <c r="H581" s="66"/>
      <c r="I581" s="66"/>
      <c r="J581" s="66"/>
      <c r="K581" s="66"/>
      <c r="L581" s="66"/>
      <c r="M581" s="66"/>
      <c r="N581" s="66"/>
      <c r="O581" s="66"/>
      <c r="P581" s="64">
        <v>8500</v>
      </c>
      <c r="Q581" s="66"/>
      <c r="R581" s="66"/>
      <c r="S581" s="214"/>
      <c r="T581" s="219">
        <f t="shared" si="17"/>
        <v>8500</v>
      </c>
    </row>
    <row r="582" spans="1:20" ht="45">
      <c r="A582" s="17" t="s">
        <v>293</v>
      </c>
      <c r="B582" s="73">
        <v>1</v>
      </c>
      <c r="C582" s="67"/>
      <c r="D582" s="212">
        <v>12</v>
      </c>
      <c r="E582" s="218">
        <f t="shared" si="16"/>
        <v>78000</v>
      </c>
      <c r="F582" s="60" t="s">
        <v>166</v>
      </c>
      <c r="G582" s="66"/>
      <c r="H582" s="66"/>
      <c r="I582" s="66"/>
      <c r="J582" s="66"/>
      <c r="K582" s="66"/>
      <c r="L582" s="66"/>
      <c r="M582" s="66"/>
      <c r="N582" s="66"/>
      <c r="O582" s="66"/>
      <c r="P582" s="64">
        <v>6500</v>
      </c>
      <c r="Q582" s="66"/>
      <c r="R582" s="66"/>
      <c r="S582" s="214"/>
      <c r="T582" s="219">
        <f t="shared" si="17"/>
        <v>6500</v>
      </c>
    </row>
    <row r="583" spans="1:20" ht="33.75">
      <c r="A583" s="17" t="s">
        <v>230</v>
      </c>
      <c r="B583" s="73">
        <v>1</v>
      </c>
      <c r="C583" s="67"/>
      <c r="D583" s="212">
        <v>12</v>
      </c>
      <c r="E583" s="218">
        <f t="shared" ref="E583:E646" si="18">T583*12</f>
        <v>36000</v>
      </c>
      <c r="F583" s="60" t="s">
        <v>166</v>
      </c>
      <c r="G583" s="66"/>
      <c r="H583" s="66"/>
      <c r="I583" s="66"/>
      <c r="J583" s="66"/>
      <c r="K583" s="66"/>
      <c r="L583" s="66"/>
      <c r="M583" s="66"/>
      <c r="N583" s="66"/>
      <c r="O583" s="66"/>
      <c r="P583" s="64">
        <v>3000</v>
      </c>
      <c r="Q583" s="66"/>
      <c r="R583" s="66"/>
      <c r="S583" s="214"/>
      <c r="T583" s="219">
        <f t="shared" si="17"/>
        <v>3000</v>
      </c>
    </row>
    <row r="584" spans="1:20" ht="45">
      <c r="A584" s="17" t="s">
        <v>294</v>
      </c>
      <c r="B584" s="73">
        <v>1</v>
      </c>
      <c r="C584" s="67"/>
      <c r="D584" s="212">
        <v>12</v>
      </c>
      <c r="E584" s="218">
        <f t="shared" si="18"/>
        <v>168000</v>
      </c>
      <c r="F584" s="60" t="s">
        <v>166</v>
      </c>
      <c r="G584" s="66"/>
      <c r="H584" s="66"/>
      <c r="I584" s="66"/>
      <c r="J584" s="66"/>
      <c r="K584" s="66"/>
      <c r="L584" s="66"/>
      <c r="M584" s="66"/>
      <c r="N584" s="66"/>
      <c r="O584" s="66"/>
      <c r="P584" s="64">
        <v>14000</v>
      </c>
      <c r="Q584" s="66"/>
      <c r="R584" s="66"/>
      <c r="S584" s="214"/>
      <c r="T584" s="219">
        <f t="shared" ref="T584:T647" si="19">SUM(G584:S584)</f>
        <v>14000</v>
      </c>
    </row>
    <row r="585" spans="1:20" ht="56.25">
      <c r="A585" s="17" t="s">
        <v>295</v>
      </c>
      <c r="B585" s="73">
        <v>1</v>
      </c>
      <c r="C585" s="67"/>
      <c r="D585" s="212">
        <v>12</v>
      </c>
      <c r="E585" s="218">
        <f t="shared" si="18"/>
        <v>102000</v>
      </c>
      <c r="F585" s="60" t="s">
        <v>166</v>
      </c>
      <c r="G585" s="66"/>
      <c r="H585" s="66"/>
      <c r="I585" s="66"/>
      <c r="J585" s="66"/>
      <c r="K585" s="66"/>
      <c r="L585" s="66"/>
      <c r="M585" s="66"/>
      <c r="N585" s="66"/>
      <c r="O585" s="66"/>
      <c r="P585" s="64">
        <v>8500</v>
      </c>
      <c r="Q585" s="66"/>
      <c r="R585" s="66"/>
      <c r="S585" s="214"/>
      <c r="T585" s="219">
        <f t="shared" si="19"/>
        <v>8500</v>
      </c>
    </row>
    <row r="586" spans="1:20" ht="67.5">
      <c r="A586" s="17" t="s">
        <v>296</v>
      </c>
      <c r="B586" s="73">
        <v>1</v>
      </c>
      <c r="C586" s="67"/>
      <c r="D586" s="212">
        <v>12</v>
      </c>
      <c r="E586" s="218">
        <f t="shared" si="18"/>
        <v>102000</v>
      </c>
      <c r="F586" s="60" t="s">
        <v>166</v>
      </c>
      <c r="G586" s="66"/>
      <c r="H586" s="66"/>
      <c r="I586" s="66"/>
      <c r="J586" s="66"/>
      <c r="K586" s="66"/>
      <c r="L586" s="66"/>
      <c r="M586" s="66"/>
      <c r="N586" s="66"/>
      <c r="O586" s="66"/>
      <c r="P586" s="64">
        <v>8500</v>
      </c>
      <c r="Q586" s="66"/>
      <c r="R586" s="66"/>
      <c r="S586" s="214"/>
      <c r="T586" s="219">
        <f t="shared" si="19"/>
        <v>8500</v>
      </c>
    </row>
    <row r="587" spans="1:20" ht="56.25">
      <c r="A587" s="17" t="s">
        <v>297</v>
      </c>
      <c r="B587" s="73">
        <v>1</v>
      </c>
      <c r="C587" s="67"/>
      <c r="D587" s="212">
        <v>12</v>
      </c>
      <c r="E587" s="218">
        <f t="shared" si="18"/>
        <v>36000</v>
      </c>
      <c r="F587" s="60" t="s">
        <v>166</v>
      </c>
      <c r="G587" s="66"/>
      <c r="H587" s="66"/>
      <c r="I587" s="66"/>
      <c r="J587" s="66"/>
      <c r="K587" s="66"/>
      <c r="L587" s="66"/>
      <c r="M587" s="66"/>
      <c r="N587" s="66"/>
      <c r="O587" s="66"/>
      <c r="P587" s="64">
        <v>3000</v>
      </c>
      <c r="Q587" s="66"/>
      <c r="R587" s="66"/>
      <c r="S587" s="214"/>
      <c r="T587" s="219">
        <f t="shared" si="19"/>
        <v>3000</v>
      </c>
    </row>
    <row r="588" spans="1:20" ht="33.75">
      <c r="A588" s="17" t="s">
        <v>298</v>
      </c>
      <c r="B588" s="73">
        <v>1</v>
      </c>
      <c r="C588" s="67"/>
      <c r="D588" s="212">
        <v>12</v>
      </c>
      <c r="E588" s="218">
        <f t="shared" si="18"/>
        <v>60000</v>
      </c>
      <c r="F588" s="60" t="s">
        <v>166</v>
      </c>
      <c r="G588" s="66"/>
      <c r="H588" s="66"/>
      <c r="I588" s="66"/>
      <c r="J588" s="66"/>
      <c r="K588" s="66"/>
      <c r="L588" s="66"/>
      <c r="M588" s="66"/>
      <c r="N588" s="66"/>
      <c r="O588" s="66"/>
      <c r="P588" s="64">
        <v>5000</v>
      </c>
      <c r="Q588" s="66"/>
      <c r="R588" s="66"/>
      <c r="S588" s="214"/>
      <c r="T588" s="219">
        <f t="shared" si="19"/>
        <v>5000</v>
      </c>
    </row>
    <row r="589" spans="1:20" ht="33.75">
      <c r="A589" s="17" t="s">
        <v>234</v>
      </c>
      <c r="B589" s="73">
        <v>1</v>
      </c>
      <c r="C589" s="67"/>
      <c r="D589" s="212">
        <v>12</v>
      </c>
      <c r="E589" s="218">
        <f t="shared" si="18"/>
        <v>42000</v>
      </c>
      <c r="F589" s="60" t="s">
        <v>166</v>
      </c>
      <c r="G589" s="66"/>
      <c r="H589" s="66"/>
      <c r="I589" s="66"/>
      <c r="J589" s="66"/>
      <c r="K589" s="66"/>
      <c r="L589" s="66"/>
      <c r="M589" s="66"/>
      <c r="N589" s="66"/>
      <c r="O589" s="66"/>
      <c r="P589" s="64">
        <v>3500</v>
      </c>
      <c r="Q589" s="66"/>
      <c r="R589" s="66"/>
      <c r="S589" s="214"/>
      <c r="T589" s="219">
        <f t="shared" si="19"/>
        <v>3500</v>
      </c>
    </row>
    <row r="590" spans="1:20" ht="33.75">
      <c r="A590" s="17" t="s">
        <v>234</v>
      </c>
      <c r="B590" s="73">
        <v>1</v>
      </c>
      <c r="C590" s="67"/>
      <c r="D590" s="212">
        <v>12</v>
      </c>
      <c r="E590" s="218">
        <f t="shared" si="18"/>
        <v>42000</v>
      </c>
      <c r="F590" s="60" t="s">
        <v>166</v>
      </c>
      <c r="G590" s="66"/>
      <c r="H590" s="66"/>
      <c r="I590" s="66"/>
      <c r="J590" s="66"/>
      <c r="K590" s="66"/>
      <c r="L590" s="66"/>
      <c r="M590" s="66"/>
      <c r="N590" s="66"/>
      <c r="O590" s="66"/>
      <c r="P590" s="64">
        <v>3500</v>
      </c>
      <c r="Q590" s="66"/>
      <c r="R590" s="66"/>
      <c r="S590" s="214"/>
      <c r="T590" s="219">
        <f t="shared" si="19"/>
        <v>3500</v>
      </c>
    </row>
    <row r="591" spans="1:20" ht="33.75">
      <c r="A591" s="17" t="s">
        <v>235</v>
      </c>
      <c r="B591" s="73">
        <v>1</v>
      </c>
      <c r="C591" s="67"/>
      <c r="D591" s="212">
        <v>12</v>
      </c>
      <c r="E591" s="218">
        <f t="shared" si="18"/>
        <v>36000</v>
      </c>
      <c r="F591" s="60" t="s">
        <v>166</v>
      </c>
      <c r="G591" s="66"/>
      <c r="H591" s="66"/>
      <c r="I591" s="66"/>
      <c r="J591" s="66"/>
      <c r="K591" s="66"/>
      <c r="L591" s="66"/>
      <c r="M591" s="66"/>
      <c r="N591" s="66"/>
      <c r="O591" s="66"/>
      <c r="P591" s="64">
        <v>3000</v>
      </c>
      <c r="Q591" s="66"/>
      <c r="R591" s="66"/>
      <c r="S591" s="214"/>
      <c r="T591" s="219">
        <f t="shared" si="19"/>
        <v>3000</v>
      </c>
    </row>
    <row r="592" spans="1:20" ht="33.75">
      <c r="A592" s="17" t="s">
        <v>235</v>
      </c>
      <c r="B592" s="73">
        <v>1</v>
      </c>
      <c r="C592" s="67"/>
      <c r="D592" s="212">
        <v>12</v>
      </c>
      <c r="E592" s="218">
        <f t="shared" si="18"/>
        <v>36000</v>
      </c>
      <c r="F592" s="60" t="s">
        <v>166</v>
      </c>
      <c r="G592" s="66"/>
      <c r="H592" s="66"/>
      <c r="I592" s="66"/>
      <c r="J592" s="66"/>
      <c r="K592" s="66"/>
      <c r="L592" s="66"/>
      <c r="M592" s="66"/>
      <c r="N592" s="66"/>
      <c r="O592" s="66"/>
      <c r="P592" s="64">
        <v>3000</v>
      </c>
      <c r="Q592" s="66"/>
      <c r="R592" s="66"/>
      <c r="S592" s="214"/>
      <c r="T592" s="219">
        <f t="shared" si="19"/>
        <v>3000</v>
      </c>
    </row>
    <row r="593" spans="1:20" ht="33.75">
      <c r="A593" s="17" t="s">
        <v>235</v>
      </c>
      <c r="B593" s="73">
        <v>1</v>
      </c>
      <c r="C593" s="67"/>
      <c r="D593" s="212">
        <v>12</v>
      </c>
      <c r="E593" s="218">
        <f t="shared" si="18"/>
        <v>36000</v>
      </c>
      <c r="F593" s="60" t="s">
        <v>166</v>
      </c>
      <c r="G593" s="66"/>
      <c r="H593" s="66"/>
      <c r="I593" s="66"/>
      <c r="J593" s="66"/>
      <c r="K593" s="66"/>
      <c r="L593" s="66"/>
      <c r="M593" s="66"/>
      <c r="N593" s="66"/>
      <c r="O593" s="66"/>
      <c r="P593" s="64">
        <v>3000</v>
      </c>
      <c r="Q593" s="66"/>
      <c r="R593" s="66"/>
      <c r="S593" s="214"/>
      <c r="T593" s="219">
        <f t="shared" si="19"/>
        <v>3000</v>
      </c>
    </row>
    <row r="594" spans="1:20" ht="33.75">
      <c r="A594" s="17" t="s">
        <v>235</v>
      </c>
      <c r="B594" s="73">
        <v>1</v>
      </c>
      <c r="C594" s="67"/>
      <c r="D594" s="212">
        <v>12</v>
      </c>
      <c r="E594" s="218">
        <f t="shared" si="18"/>
        <v>36000</v>
      </c>
      <c r="F594" s="60" t="s">
        <v>166</v>
      </c>
      <c r="G594" s="66"/>
      <c r="H594" s="66"/>
      <c r="I594" s="66"/>
      <c r="J594" s="66"/>
      <c r="K594" s="66"/>
      <c r="L594" s="66"/>
      <c r="M594" s="66"/>
      <c r="N594" s="66"/>
      <c r="O594" s="66"/>
      <c r="P594" s="64">
        <v>3000</v>
      </c>
      <c r="Q594" s="66"/>
      <c r="R594" s="66"/>
      <c r="S594" s="214"/>
      <c r="T594" s="219">
        <f t="shared" si="19"/>
        <v>3000</v>
      </c>
    </row>
    <row r="595" spans="1:20" ht="33.75">
      <c r="A595" s="17" t="s">
        <v>235</v>
      </c>
      <c r="B595" s="73">
        <v>1</v>
      </c>
      <c r="C595" s="67"/>
      <c r="D595" s="212">
        <v>12</v>
      </c>
      <c r="E595" s="218">
        <f t="shared" si="18"/>
        <v>36000</v>
      </c>
      <c r="F595" s="60" t="s">
        <v>166</v>
      </c>
      <c r="G595" s="66"/>
      <c r="H595" s="66"/>
      <c r="I595" s="66"/>
      <c r="J595" s="66"/>
      <c r="K595" s="66"/>
      <c r="L595" s="66"/>
      <c r="M595" s="66"/>
      <c r="N595" s="66"/>
      <c r="O595" s="66"/>
      <c r="P595" s="64">
        <v>3000</v>
      </c>
      <c r="Q595" s="66"/>
      <c r="R595" s="66"/>
      <c r="S595" s="214"/>
      <c r="T595" s="219">
        <f t="shared" si="19"/>
        <v>3000</v>
      </c>
    </row>
    <row r="596" spans="1:20" ht="33.75">
      <c r="A596" s="17" t="s">
        <v>235</v>
      </c>
      <c r="B596" s="73">
        <v>1</v>
      </c>
      <c r="C596" s="67"/>
      <c r="D596" s="212">
        <v>12</v>
      </c>
      <c r="E596" s="218">
        <f t="shared" si="18"/>
        <v>36000</v>
      </c>
      <c r="F596" s="60" t="s">
        <v>166</v>
      </c>
      <c r="G596" s="66"/>
      <c r="H596" s="66"/>
      <c r="I596" s="66"/>
      <c r="J596" s="66"/>
      <c r="K596" s="66"/>
      <c r="L596" s="66"/>
      <c r="M596" s="66"/>
      <c r="N596" s="66"/>
      <c r="O596" s="66"/>
      <c r="P596" s="64">
        <v>3000</v>
      </c>
      <c r="Q596" s="66"/>
      <c r="R596" s="66"/>
      <c r="S596" s="214"/>
      <c r="T596" s="219">
        <f t="shared" si="19"/>
        <v>3000</v>
      </c>
    </row>
    <row r="597" spans="1:20" ht="33.75">
      <c r="A597" s="17" t="s">
        <v>227</v>
      </c>
      <c r="B597" s="73">
        <v>1</v>
      </c>
      <c r="C597" s="67"/>
      <c r="D597" s="212">
        <v>12</v>
      </c>
      <c r="E597" s="218">
        <f t="shared" si="18"/>
        <v>36000</v>
      </c>
      <c r="F597" s="60" t="s">
        <v>166</v>
      </c>
      <c r="G597" s="66"/>
      <c r="H597" s="66"/>
      <c r="I597" s="66"/>
      <c r="J597" s="66"/>
      <c r="K597" s="66"/>
      <c r="L597" s="66"/>
      <c r="M597" s="66"/>
      <c r="N597" s="66"/>
      <c r="O597" s="66"/>
      <c r="P597" s="64">
        <v>3000</v>
      </c>
      <c r="Q597" s="66"/>
      <c r="R597" s="66"/>
      <c r="S597" s="214"/>
      <c r="T597" s="219">
        <f t="shared" si="19"/>
        <v>3000</v>
      </c>
    </row>
    <row r="598" spans="1:20" ht="33.75">
      <c r="A598" s="17" t="s">
        <v>235</v>
      </c>
      <c r="B598" s="73">
        <v>1</v>
      </c>
      <c r="C598" s="67"/>
      <c r="D598" s="212">
        <v>12</v>
      </c>
      <c r="E598" s="218">
        <f t="shared" si="18"/>
        <v>36000</v>
      </c>
      <c r="F598" s="60" t="s">
        <v>166</v>
      </c>
      <c r="G598" s="66"/>
      <c r="H598" s="66"/>
      <c r="I598" s="66"/>
      <c r="J598" s="66"/>
      <c r="K598" s="66"/>
      <c r="L598" s="66"/>
      <c r="M598" s="66"/>
      <c r="N598" s="66"/>
      <c r="O598" s="66"/>
      <c r="P598" s="64">
        <v>3000</v>
      </c>
      <c r="Q598" s="66"/>
      <c r="R598" s="66"/>
      <c r="S598" s="214"/>
      <c r="T598" s="219">
        <f t="shared" si="19"/>
        <v>3000</v>
      </c>
    </row>
    <row r="599" spans="1:20" ht="33.75">
      <c r="A599" s="17" t="s">
        <v>235</v>
      </c>
      <c r="B599" s="73">
        <v>1</v>
      </c>
      <c r="C599" s="67"/>
      <c r="D599" s="212">
        <v>12</v>
      </c>
      <c r="E599" s="218">
        <f t="shared" si="18"/>
        <v>36000</v>
      </c>
      <c r="F599" s="60" t="s">
        <v>166</v>
      </c>
      <c r="G599" s="66"/>
      <c r="H599" s="66"/>
      <c r="I599" s="66"/>
      <c r="J599" s="66"/>
      <c r="K599" s="66"/>
      <c r="L599" s="66"/>
      <c r="M599" s="66"/>
      <c r="N599" s="66"/>
      <c r="O599" s="66"/>
      <c r="P599" s="64">
        <v>3000</v>
      </c>
      <c r="Q599" s="66"/>
      <c r="R599" s="66"/>
      <c r="S599" s="214"/>
      <c r="T599" s="219">
        <f t="shared" si="19"/>
        <v>3000</v>
      </c>
    </row>
    <row r="600" spans="1:20" ht="33.75">
      <c r="A600" s="17" t="s">
        <v>235</v>
      </c>
      <c r="B600" s="73">
        <v>1</v>
      </c>
      <c r="C600" s="67"/>
      <c r="D600" s="212">
        <v>12</v>
      </c>
      <c r="E600" s="218">
        <f t="shared" si="18"/>
        <v>36000</v>
      </c>
      <c r="F600" s="60" t="s">
        <v>166</v>
      </c>
      <c r="G600" s="66"/>
      <c r="H600" s="66"/>
      <c r="I600" s="66"/>
      <c r="J600" s="66"/>
      <c r="K600" s="66"/>
      <c r="L600" s="66"/>
      <c r="M600" s="66"/>
      <c r="N600" s="66"/>
      <c r="O600" s="66"/>
      <c r="P600" s="64">
        <v>3000</v>
      </c>
      <c r="Q600" s="66"/>
      <c r="R600" s="66"/>
      <c r="S600" s="214"/>
      <c r="T600" s="219">
        <f t="shared" si="19"/>
        <v>3000</v>
      </c>
    </row>
    <row r="601" spans="1:20" ht="33.75">
      <c r="A601" s="17" t="s">
        <v>235</v>
      </c>
      <c r="B601" s="73">
        <v>1</v>
      </c>
      <c r="C601" s="67"/>
      <c r="D601" s="212">
        <v>12</v>
      </c>
      <c r="E601" s="218">
        <f t="shared" si="18"/>
        <v>36000</v>
      </c>
      <c r="F601" s="60" t="s">
        <v>166</v>
      </c>
      <c r="G601" s="66"/>
      <c r="H601" s="66"/>
      <c r="I601" s="66"/>
      <c r="J601" s="66"/>
      <c r="K601" s="66"/>
      <c r="L601" s="66"/>
      <c r="M601" s="66"/>
      <c r="N601" s="66"/>
      <c r="O601" s="66"/>
      <c r="P601" s="64">
        <v>3000</v>
      </c>
      <c r="Q601" s="66"/>
      <c r="R601" s="66"/>
      <c r="S601" s="214"/>
      <c r="T601" s="219">
        <f t="shared" si="19"/>
        <v>3000</v>
      </c>
    </row>
    <row r="602" spans="1:20" ht="33.75">
      <c r="A602" s="17" t="s">
        <v>235</v>
      </c>
      <c r="B602" s="73">
        <v>1</v>
      </c>
      <c r="C602" s="67"/>
      <c r="D602" s="212">
        <v>12</v>
      </c>
      <c r="E602" s="218">
        <f t="shared" si="18"/>
        <v>36000</v>
      </c>
      <c r="F602" s="60" t="s">
        <v>166</v>
      </c>
      <c r="G602" s="66"/>
      <c r="H602" s="66"/>
      <c r="I602" s="66"/>
      <c r="J602" s="66"/>
      <c r="K602" s="66"/>
      <c r="L602" s="66"/>
      <c r="M602" s="66"/>
      <c r="N602" s="66"/>
      <c r="O602" s="66"/>
      <c r="P602" s="64">
        <v>3000</v>
      </c>
      <c r="Q602" s="66"/>
      <c r="R602" s="66"/>
      <c r="S602" s="214"/>
      <c r="T602" s="219">
        <f t="shared" si="19"/>
        <v>3000</v>
      </c>
    </row>
    <row r="603" spans="1:20" ht="45">
      <c r="A603" s="17" t="s">
        <v>229</v>
      </c>
      <c r="B603" s="73">
        <v>1</v>
      </c>
      <c r="C603" s="67"/>
      <c r="D603" s="212">
        <v>12</v>
      </c>
      <c r="E603" s="218">
        <f t="shared" si="18"/>
        <v>72000</v>
      </c>
      <c r="F603" s="60" t="s">
        <v>166</v>
      </c>
      <c r="G603" s="66"/>
      <c r="H603" s="66"/>
      <c r="I603" s="66"/>
      <c r="J603" s="66"/>
      <c r="K603" s="66"/>
      <c r="L603" s="66"/>
      <c r="M603" s="66"/>
      <c r="N603" s="66"/>
      <c r="O603" s="66"/>
      <c r="P603" s="64">
        <v>6000</v>
      </c>
      <c r="Q603" s="66"/>
      <c r="R603" s="66"/>
      <c r="S603" s="214"/>
      <c r="T603" s="219">
        <f t="shared" si="19"/>
        <v>6000</v>
      </c>
    </row>
    <row r="604" spans="1:20" ht="67.5">
      <c r="A604" s="17" t="s">
        <v>296</v>
      </c>
      <c r="B604" s="73">
        <v>1</v>
      </c>
      <c r="C604" s="67"/>
      <c r="D604" s="212">
        <v>12</v>
      </c>
      <c r="E604" s="218">
        <f t="shared" si="18"/>
        <v>90000</v>
      </c>
      <c r="F604" s="60" t="s">
        <v>166</v>
      </c>
      <c r="G604" s="66"/>
      <c r="H604" s="66"/>
      <c r="I604" s="66"/>
      <c r="J604" s="66"/>
      <c r="K604" s="66"/>
      <c r="L604" s="66"/>
      <c r="M604" s="66"/>
      <c r="N604" s="66"/>
      <c r="O604" s="66"/>
      <c r="P604" s="64">
        <v>7500</v>
      </c>
      <c r="Q604" s="66"/>
      <c r="R604" s="66"/>
      <c r="S604" s="214"/>
      <c r="T604" s="219">
        <f t="shared" si="19"/>
        <v>7500</v>
      </c>
    </row>
    <row r="605" spans="1:20" ht="33.75">
      <c r="A605" s="17" t="s">
        <v>235</v>
      </c>
      <c r="B605" s="73">
        <v>1</v>
      </c>
      <c r="C605" s="67"/>
      <c r="D605" s="212">
        <v>12</v>
      </c>
      <c r="E605" s="218">
        <f t="shared" si="18"/>
        <v>36000</v>
      </c>
      <c r="F605" s="60" t="s">
        <v>166</v>
      </c>
      <c r="G605" s="66"/>
      <c r="H605" s="66"/>
      <c r="I605" s="66"/>
      <c r="J605" s="66"/>
      <c r="K605" s="66"/>
      <c r="L605" s="66"/>
      <c r="M605" s="66"/>
      <c r="N605" s="66"/>
      <c r="O605" s="66"/>
      <c r="P605" s="64">
        <v>3000</v>
      </c>
      <c r="Q605" s="66"/>
      <c r="R605" s="66"/>
      <c r="S605" s="214"/>
      <c r="T605" s="219">
        <f t="shared" si="19"/>
        <v>3000</v>
      </c>
    </row>
    <row r="606" spans="1:20" ht="33.75">
      <c r="A606" s="17" t="s">
        <v>299</v>
      </c>
      <c r="B606" s="73">
        <v>1</v>
      </c>
      <c r="C606" s="67"/>
      <c r="D606" s="212">
        <v>12</v>
      </c>
      <c r="E606" s="218">
        <f t="shared" si="18"/>
        <v>60000</v>
      </c>
      <c r="F606" s="60" t="s">
        <v>166</v>
      </c>
      <c r="G606" s="66"/>
      <c r="H606" s="66"/>
      <c r="I606" s="66"/>
      <c r="J606" s="66"/>
      <c r="K606" s="66"/>
      <c r="L606" s="66"/>
      <c r="M606" s="66"/>
      <c r="N606" s="66"/>
      <c r="O606" s="66"/>
      <c r="P606" s="64">
        <v>5000</v>
      </c>
      <c r="Q606" s="66"/>
      <c r="R606" s="66"/>
      <c r="S606" s="214"/>
      <c r="T606" s="219">
        <f t="shared" si="19"/>
        <v>5000</v>
      </c>
    </row>
    <row r="607" spans="1:20" ht="45">
      <c r="A607" s="17" t="s">
        <v>300</v>
      </c>
      <c r="B607" s="73">
        <v>1</v>
      </c>
      <c r="C607" s="67"/>
      <c r="D607" s="212">
        <v>12</v>
      </c>
      <c r="E607" s="218">
        <f t="shared" si="18"/>
        <v>36000</v>
      </c>
      <c r="F607" s="60" t="s">
        <v>166</v>
      </c>
      <c r="G607" s="66"/>
      <c r="H607" s="66"/>
      <c r="I607" s="66"/>
      <c r="J607" s="66"/>
      <c r="K607" s="66"/>
      <c r="L607" s="66"/>
      <c r="M607" s="66"/>
      <c r="N607" s="66"/>
      <c r="O607" s="66"/>
      <c r="P607" s="64">
        <v>3000</v>
      </c>
      <c r="Q607" s="66"/>
      <c r="R607" s="66"/>
      <c r="S607" s="214"/>
      <c r="T607" s="219">
        <f t="shared" si="19"/>
        <v>3000</v>
      </c>
    </row>
    <row r="608" spans="1:20" ht="33.75">
      <c r="A608" s="17" t="s">
        <v>301</v>
      </c>
      <c r="B608" s="73">
        <v>1</v>
      </c>
      <c r="C608" s="67"/>
      <c r="D608" s="212">
        <v>12</v>
      </c>
      <c r="E608" s="218">
        <f t="shared" si="18"/>
        <v>84000</v>
      </c>
      <c r="F608" s="60" t="s">
        <v>166</v>
      </c>
      <c r="G608" s="66"/>
      <c r="H608" s="66"/>
      <c r="I608" s="66"/>
      <c r="J608" s="66"/>
      <c r="K608" s="66"/>
      <c r="L608" s="66"/>
      <c r="M608" s="66"/>
      <c r="N608" s="66"/>
      <c r="O608" s="66"/>
      <c r="P608" s="64">
        <v>7000</v>
      </c>
      <c r="Q608" s="66"/>
      <c r="R608" s="66"/>
      <c r="S608" s="214"/>
      <c r="T608" s="219">
        <f t="shared" si="19"/>
        <v>7000</v>
      </c>
    </row>
    <row r="609" spans="1:20" ht="33.75">
      <c r="A609" s="17" t="s">
        <v>302</v>
      </c>
      <c r="B609" s="73">
        <v>1</v>
      </c>
      <c r="C609" s="67"/>
      <c r="D609" s="212">
        <v>12</v>
      </c>
      <c r="E609" s="218">
        <f t="shared" si="18"/>
        <v>96000</v>
      </c>
      <c r="F609" s="60" t="s">
        <v>166</v>
      </c>
      <c r="G609" s="66"/>
      <c r="H609" s="66"/>
      <c r="I609" s="66"/>
      <c r="J609" s="66"/>
      <c r="K609" s="66"/>
      <c r="L609" s="66"/>
      <c r="M609" s="66"/>
      <c r="N609" s="66"/>
      <c r="O609" s="66"/>
      <c r="P609" s="64">
        <v>8000</v>
      </c>
      <c r="Q609" s="66"/>
      <c r="R609" s="66"/>
      <c r="S609" s="214"/>
      <c r="T609" s="219">
        <f t="shared" si="19"/>
        <v>8000</v>
      </c>
    </row>
    <row r="610" spans="1:20" ht="33.75">
      <c r="A610" s="17" t="s">
        <v>237</v>
      </c>
      <c r="B610" s="73">
        <v>1</v>
      </c>
      <c r="C610" s="67"/>
      <c r="D610" s="212">
        <v>12</v>
      </c>
      <c r="E610" s="218">
        <f t="shared" si="18"/>
        <v>96000</v>
      </c>
      <c r="F610" s="60" t="s">
        <v>166</v>
      </c>
      <c r="G610" s="66"/>
      <c r="H610" s="66"/>
      <c r="I610" s="66"/>
      <c r="J610" s="66"/>
      <c r="K610" s="66"/>
      <c r="L610" s="66"/>
      <c r="M610" s="66"/>
      <c r="N610" s="66"/>
      <c r="O610" s="66"/>
      <c r="P610" s="64">
        <v>8000</v>
      </c>
      <c r="Q610" s="66"/>
      <c r="R610" s="66"/>
      <c r="S610" s="214"/>
      <c r="T610" s="219">
        <f t="shared" si="19"/>
        <v>8000</v>
      </c>
    </row>
    <row r="611" spans="1:20" ht="33.75">
      <c r="A611" s="17" t="s">
        <v>303</v>
      </c>
      <c r="B611" s="73">
        <v>1</v>
      </c>
      <c r="C611" s="67"/>
      <c r="D611" s="212">
        <v>12</v>
      </c>
      <c r="E611" s="218">
        <f t="shared" si="18"/>
        <v>108000</v>
      </c>
      <c r="F611" s="60" t="s">
        <v>166</v>
      </c>
      <c r="G611" s="66"/>
      <c r="H611" s="66"/>
      <c r="I611" s="66"/>
      <c r="J611" s="66"/>
      <c r="K611" s="66"/>
      <c r="L611" s="66"/>
      <c r="M611" s="66"/>
      <c r="N611" s="66"/>
      <c r="O611" s="66"/>
      <c r="P611" s="64">
        <v>9000</v>
      </c>
      <c r="Q611" s="66"/>
      <c r="R611" s="66"/>
      <c r="S611" s="214"/>
      <c r="T611" s="219">
        <f t="shared" si="19"/>
        <v>9000</v>
      </c>
    </row>
    <row r="612" spans="1:20" ht="33.75">
      <c r="A612" s="17" t="s">
        <v>304</v>
      </c>
      <c r="B612" s="73">
        <v>1</v>
      </c>
      <c r="C612" s="67"/>
      <c r="D612" s="212">
        <v>12</v>
      </c>
      <c r="E612" s="218">
        <f t="shared" si="18"/>
        <v>78000</v>
      </c>
      <c r="F612" s="60" t="s">
        <v>166</v>
      </c>
      <c r="G612" s="66"/>
      <c r="H612" s="66"/>
      <c r="I612" s="66"/>
      <c r="J612" s="66"/>
      <c r="K612" s="66"/>
      <c r="L612" s="66"/>
      <c r="M612" s="66"/>
      <c r="N612" s="66"/>
      <c r="O612" s="66"/>
      <c r="P612" s="64">
        <v>6500</v>
      </c>
      <c r="Q612" s="66"/>
      <c r="R612" s="66"/>
      <c r="S612" s="214"/>
      <c r="T612" s="219">
        <f t="shared" si="19"/>
        <v>6500</v>
      </c>
    </row>
    <row r="613" spans="1:20" ht="56.25">
      <c r="A613" s="17" t="s">
        <v>305</v>
      </c>
      <c r="B613" s="73">
        <v>1</v>
      </c>
      <c r="C613" s="67"/>
      <c r="D613" s="212">
        <v>12</v>
      </c>
      <c r="E613" s="218">
        <f t="shared" si="18"/>
        <v>108000</v>
      </c>
      <c r="F613" s="60" t="s">
        <v>166</v>
      </c>
      <c r="G613" s="66"/>
      <c r="H613" s="66"/>
      <c r="I613" s="66"/>
      <c r="J613" s="66"/>
      <c r="K613" s="66"/>
      <c r="L613" s="66"/>
      <c r="M613" s="66"/>
      <c r="N613" s="66"/>
      <c r="O613" s="66"/>
      <c r="P613" s="64">
        <v>9000</v>
      </c>
      <c r="Q613" s="66"/>
      <c r="R613" s="66"/>
      <c r="S613" s="214"/>
      <c r="T613" s="219">
        <f t="shared" si="19"/>
        <v>9000</v>
      </c>
    </row>
    <row r="614" spans="1:20" ht="33.75">
      <c r="A614" s="17" t="s">
        <v>306</v>
      </c>
      <c r="B614" s="73">
        <v>1</v>
      </c>
      <c r="C614" s="67"/>
      <c r="D614" s="212">
        <v>12</v>
      </c>
      <c r="E614" s="218">
        <f t="shared" si="18"/>
        <v>108000</v>
      </c>
      <c r="F614" s="60" t="s">
        <v>166</v>
      </c>
      <c r="G614" s="66"/>
      <c r="H614" s="66"/>
      <c r="I614" s="66"/>
      <c r="J614" s="66"/>
      <c r="K614" s="66"/>
      <c r="L614" s="66"/>
      <c r="M614" s="66"/>
      <c r="N614" s="66"/>
      <c r="O614" s="66"/>
      <c r="P614" s="64">
        <v>9000</v>
      </c>
      <c r="Q614" s="66"/>
      <c r="R614" s="66"/>
      <c r="S614" s="214"/>
      <c r="T614" s="219">
        <f t="shared" si="19"/>
        <v>9000</v>
      </c>
    </row>
    <row r="615" spans="1:20" ht="33.75">
      <c r="A615" s="17" t="s">
        <v>307</v>
      </c>
      <c r="B615" s="73">
        <v>1</v>
      </c>
      <c r="C615" s="67"/>
      <c r="D615" s="212">
        <v>12</v>
      </c>
      <c r="E615" s="218">
        <f t="shared" si="18"/>
        <v>96000</v>
      </c>
      <c r="F615" s="60" t="s">
        <v>166</v>
      </c>
      <c r="G615" s="66"/>
      <c r="H615" s="66"/>
      <c r="I615" s="66"/>
      <c r="J615" s="66"/>
      <c r="K615" s="66"/>
      <c r="L615" s="66"/>
      <c r="M615" s="66"/>
      <c r="N615" s="66"/>
      <c r="O615" s="66"/>
      <c r="P615" s="64">
        <v>8000</v>
      </c>
      <c r="Q615" s="66"/>
      <c r="R615" s="66"/>
      <c r="S615" s="214"/>
      <c r="T615" s="219">
        <f t="shared" si="19"/>
        <v>8000</v>
      </c>
    </row>
    <row r="616" spans="1:20" ht="33.75">
      <c r="A616" s="17" t="s">
        <v>238</v>
      </c>
      <c r="B616" s="73">
        <v>1</v>
      </c>
      <c r="C616" s="67"/>
      <c r="D616" s="212">
        <v>12</v>
      </c>
      <c r="E616" s="218">
        <f t="shared" si="18"/>
        <v>84000</v>
      </c>
      <c r="F616" s="60" t="s">
        <v>166</v>
      </c>
      <c r="G616" s="66"/>
      <c r="H616" s="66"/>
      <c r="I616" s="66"/>
      <c r="J616" s="66"/>
      <c r="K616" s="66"/>
      <c r="L616" s="66"/>
      <c r="M616" s="66"/>
      <c r="N616" s="66"/>
      <c r="O616" s="66"/>
      <c r="P616" s="64">
        <v>7000</v>
      </c>
      <c r="Q616" s="66"/>
      <c r="R616" s="66"/>
      <c r="S616" s="214"/>
      <c r="T616" s="219">
        <f t="shared" si="19"/>
        <v>7000</v>
      </c>
    </row>
    <row r="617" spans="1:20" ht="56.25">
      <c r="A617" s="17" t="s">
        <v>308</v>
      </c>
      <c r="B617" s="73">
        <v>1</v>
      </c>
      <c r="C617" s="67"/>
      <c r="D617" s="212">
        <v>12</v>
      </c>
      <c r="E617" s="218">
        <f t="shared" si="18"/>
        <v>36000</v>
      </c>
      <c r="F617" s="60" t="s">
        <v>166</v>
      </c>
      <c r="G617" s="66"/>
      <c r="H617" s="66"/>
      <c r="I617" s="66"/>
      <c r="J617" s="66"/>
      <c r="K617" s="66"/>
      <c r="L617" s="66"/>
      <c r="M617" s="66"/>
      <c r="N617" s="66"/>
      <c r="O617" s="66"/>
      <c r="P617" s="64">
        <v>3000</v>
      </c>
      <c r="Q617" s="66"/>
      <c r="R617" s="66"/>
      <c r="S617" s="214"/>
      <c r="T617" s="219">
        <f t="shared" si="19"/>
        <v>3000</v>
      </c>
    </row>
    <row r="618" spans="1:20" ht="45">
      <c r="A618" s="17" t="s">
        <v>309</v>
      </c>
      <c r="B618" s="73">
        <v>1</v>
      </c>
      <c r="C618" s="67"/>
      <c r="D618" s="212">
        <v>12</v>
      </c>
      <c r="E618" s="218">
        <f t="shared" si="18"/>
        <v>36000</v>
      </c>
      <c r="F618" s="60" t="s">
        <v>166</v>
      </c>
      <c r="G618" s="66"/>
      <c r="H618" s="66"/>
      <c r="I618" s="66"/>
      <c r="J618" s="66"/>
      <c r="K618" s="66"/>
      <c r="L618" s="66"/>
      <c r="M618" s="66"/>
      <c r="N618" s="66"/>
      <c r="O618" s="66"/>
      <c r="P618" s="64">
        <v>3000</v>
      </c>
      <c r="Q618" s="66"/>
      <c r="R618" s="66"/>
      <c r="S618" s="214"/>
      <c r="T618" s="219">
        <f t="shared" si="19"/>
        <v>3000</v>
      </c>
    </row>
    <row r="619" spans="1:20" ht="45">
      <c r="A619" s="17" t="s">
        <v>310</v>
      </c>
      <c r="B619" s="73">
        <v>1</v>
      </c>
      <c r="C619" s="67"/>
      <c r="D619" s="212">
        <v>12</v>
      </c>
      <c r="E619" s="218">
        <f t="shared" si="18"/>
        <v>144000</v>
      </c>
      <c r="F619" s="60" t="s">
        <v>166</v>
      </c>
      <c r="G619" s="66"/>
      <c r="H619" s="66"/>
      <c r="I619" s="66"/>
      <c r="J619" s="66"/>
      <c r="K619" s="66"/>
      <c r="L619" s="66"/>
      <c r="M619" s="66"/>
      <c r="N619" s="66"/>
      <c r="O619" s="66"/>
      <c r="P619" s="64">
        <v>12000</v>
      </c>
      <c r="Q619" s="66"/>
      <c r="R619" s="66"/>
      <c r="S619" s="214"/>
      <c r="T619" s="219">
        <f t="shared" si="19"/>
        <v>12000</v>
      </c>
    </row>
    <row r="620" spans="1:20" ht="45">
      <c r="A620" s="17" t="s">
        <v>249</v>
      </c>
      <c r="B620" s="73">
        <v>1</v>
      </c>
      <c r="C620" s="67"/>
      <c r="D620" s="212">
        <v>12</v>
      </c>
      <c r="E620" s="218">
        <f t="shared" si="18"/>
        <v>114000</v>
      </c>
      <c r="F620" s="60" t="s">
        <v>166</v>
      </c>
      <c r="G620" s="66"/>
      <c r="H620" s="66"/>
      <c r="I620" s="66"/>
      <c r="J620" s="66"/>
      <c r="K620" s="66"/>
      <c r="L620" s="66"/>
      <c r="M620" s="66"/>
      <c r="N620" s="66"/>
      <c r="O620" s="66"/>
      <c r="P620" s="64">
        <v>9500</v>
      </c>
      <c r="Q620" s="66"/>
      <c r="R620" s="66"/>
      <c r="S620" s="214"/>
      <c r="T620" s="219">
        <f t="shared" si="19"/>
        <v>9500</v>
      </c>
    </row>
    <row r="621" spans="1:20" ht="45">
      <c r="A621" s="17" t="s">
        <v>311</v>
      </c>
      <c r="B621" s="73">
        <v>1</v>
      </c>
      <c r="C621" s="67"/>
      <c r="D621" s="212">
        <v>12</v>
      </c>
      <c r="E621" s="218">
        <f t="shared" si="18"/>
        <v>114000</v>
      </c>
      <c r="F621" s="60" t="s">
        <v>166</v>
      </c>
      <c r="G621" s="66"/>
      <c r="H621" s="66"/>
      <c r="I621" s="66"/>
      <c r="J621" s="66"/>
      <c r="K621" s="66"/>
      <c r="L621" s="66"/>
      <c r="M621" s="66"/>
      <c r="N621" s="66"/>
      <c r="O621" s="66"/>
      <c r="P621" s="64">
        <v>9500</v>
      </c>
      <c r="Q621" s="66"/>
      <c r="R621" s="66"/>
      <c r="S621" s="214"/>
      <c r="T621" s="219">
        <f t="shared" si="19"/>
        <v>9500</v>
      </c>
    </row>
    <row r="622" spans="1:20" ht="45">
      <c r="A622" s="17" t="s">
        <v>249</v>
      </c>
      <c r="B622" s="73">
        <v>1</v>
      </c>
      <c r="C622" s="67"/>
      <c r="D622" s="212">
        <v>12</v>
      </c>
      <c r="E622" s="218">
        <f t="shared" si="18"/>
        <v>114000</v>
      </c>
      <c r="F622" s="60" t="s">
        <v>166</v>
      </c>
      <c r="G622" s="66"/>
      <c r="H622" s="66"/>
      <c r="I622" s="66"/>
      <c r="J622" s="66"/>
      <c r="K622" s="66"/>
      <c r="L622" s="66"/>
      <c r="M622" s="66"/>
      <c r="N622" s="66"/>
      <c r="O622" s="66"/>
      <c r="P622" s="64">
        <v>9500</v>
      </c>
      <c r="Q622" s="66"/>
      <c r="R622" s="66"/>
      <c r="S622" s="214"/>
      <c r="T622" s="219">
        <f t="shared" si="19"/>
        <v>9500</v>
      </c>
    </row>
    <row r="623" spans="1:20" ht="45">
      <c r="A623" s="17" t="s">
        <v>249</v>
      </c>
      <c r="B623" s="73">
        <v>1</v>
      </c>
      <c r="C623" s="67"/>
      <c r="D623" s="212">
        <v>12</v>
      </c>
      <c r="E623" s="218">
        <f t="shared" si="18"/>
        <v>102000</v>
      </c>
      <c r="F623" s="60" t="s">
        <v>166</v>
      </c>
      <c r="G623" s="66"/>
      <c r="H623" s="66"/>
      <c r="I623" s="66"/>
      <c r="J623" s="66"/>
      <c r="K623" s="66"/>
      <c r="L623" s="66"/>
      <c r="M623" s="66"/>
      <c r="N623" s="66"/>
      <c r="O623" s="66"/>
      <c r="P623" s="64">
        <v>8500</v>
      </c>
      <c r="Q623" s="66"/>
      <c r="R623" s="66"/>
      <c r="S623" s="214"/>
      <c r="T623" s="219">
        <f t="shared" si="19"/>
        <v>8500</v>
      </c>
    </row>
    <row r="624" spans="1:20" ht="45">
      <c r="A624" s="17" t="s">
        <v>250</v>
      </c>
      <c r="B624" s="73">
        <v>1</v>
      </c>
      <c r="C624" s="67"/>
      <c r="D624" s="212">
        <v>12</v>
      </c>
      <c r="E624" s="218">
        <f t="shared" si="18"/>
        <v>102000</v>
      </c>
      <c r="F624" s="60" t="s">
        <v>166</v>
      </c>
      <c r="G624" s="66"/>
      <c r="H624" s="66"/>
      <c r="I624" s="66"/>
      <c r="J624" s="66"/>
      <c r="K624" s="66"/>
      <c r="L624" s="66"/>
      <c r="M624" s="66"/>
      <c r="N624" s="66"/>
      <c r="O624" s="66"/>
      <c r="P624" s="64">
        <v>8500</v>
      </c>
      <c r="Q624" s="66"/>
      <c r="R624" s="66"/>
      <c r="S624" s="214"/>
      <c r="T624" s="219">
        <f t="shared" si="19"/>
        <v>8500</v>
      </c>
    </row>
    <row r="625" spans="1:20" ht="45">
      <c r="A625" s="17" t="s">
        <v>250</v>
      </c>
      <c r="B625" s="73">
        <v>1</v>
      </c>
      <c r="C625" s="67"/>
      <c r="D625" s="212">
        <v>12</v>
      </c>
      <c r="E625" s="218">
        <f t="shared" si="18"/>
        <v>114000</v>
      </c>
      <c r="F625" s="60" t="s">
        <v>166</v>
      </c>
      <c r="G625" s="66"/>
      <c r="H625" s="66"/>
      <c r="I625" s="66"/>
      <c r="J625" s="66"/>
      <c r="K625" s="66"/>
      <c r="L625" s="66"/>
      <c r="M625" s="66"/>
      <c r="N625" s="66"/>
      <c r="O625" s="66"/>
      <c r="P625" s="64">
        <v>9500</v>
      </c>
      <c r="Q625" s="66"/>
      <c r="R625" s="66"/>
      <c r="S625" s="214"/>
      <c r="T625" s="219">
        <f t="shared" si="19"/>
        <v>9500</v>
      </c>
    </row>
    <row r="626" spans="1:20" ht="33.75">
      <c r="A626" s="17" t="s">
        <v>312</v>
      </c>
      <c r="B626" s="73">
        <v>1</v>
      </c>
      <c r="C626" s="67"/>
      <c r="D626" s="212">
        <v>12</v>
      </c>
      <c r="E626" s="218">
        <f t="shared" si="18"/>
        <v>120000</v>
      </c>
      <c r="F626" s="60" t="s">
        <v>166</v>
      </c>
      <c r="G626" s="66"/>
      <c r="H626" s="66"/>
      <c r="I626" s="66"/>
      <c r="J626" s="66"/>
      <c r="K626" s="66"/>
      <c r="L626" s="66"/>
      <c r="M626" s="66"/>
      <c r="N626" s="66"/>
      <c r="O626" s="66"/>
      <c r="P626" s="64">
        <v>10000</v>
      </c>
      <c r="Q626" s="66"/>
      <c r="R626" s="66"/>
      <c r="S626" s="214"/>
      <c r="T626" s="219">
        <f t="shared" si="19"/>
        <v>10000</v>
      </c>
    </row>
    <row r="627" spans="1:20" ht="33.75">
      <c r="A627" s="17" t="s">
        <v>313</v>
      </c>
      <c r="B627" s="73">
        <v>1</v>
      </c>
      <c r="C627" s="67"/>
      <c r="D627" s="212">
        <v>12</v>
      </c>
      <c r="E627" s="218">
        <f t="shared" si="18"/>
        <v>42000</v>
      </c>
      <c r="F627" s="60" t="s">
        <v>166</v>
      </c>
      <c r="G627" s="66"/>
      <c r="H627" s="66"/>
      <c r="I627" s="66"/>
      <c r="J627" s="66"/>
      <c r="K627" s="66"/>
      <c r="L627" s="66"/>
      <c r="M627" s="66"/>
      <c r="N627" s="66"/>
      <c r="O627" s="66"/>
      <c r="P627" s="64">
        <v>3500</v>
      </c>
      <c r="Q627" s="66"/>
      <c r="R627" s="66"/>
      <c r="S627" s="214"/>
      <c r="T627" s="219">
        <f t="shared" si="19"/>
        <v>3500</v>
      </c>
    </row>
    <row r="628" spans="1:20" ht="33.75">
      <c r="A628" s="17" t="s">
        <v>251</v>
      </c>
      <c r="B628" s="73">
        <v>1</v>
      </c>
      <c r="C628" s="67"/>
      <c r="D628" s="212">
        <v>12</v>
      </c>
      <c r="E628" s="218">
        <f t="shared" si="18"/>
        <v>138000</v>
      </c>
      <c r="F628" s="60" t="s">
        <v>166</v>
      </c>
      <c r="G628" s="66"/>
      <c r="H628" s="66"/>
      <c r="I628" s="66"/>
      <c r="J628" s="66"/>
      <c r="K628" s="66"/>
      <c r="L628" s="66"/>
      <c r="M628" s="66"/>
      <c r="N628" s="66"/>
      <c r="O628" s="66"/>
      <c r="P628" s="64">
        <v>11500</v>
      </c>
      <c r="Q628" s="66"/>
      <c r="R628" s="66"/>
      <c r="S628" s="214"/>
      <c r="T628" s="219">
        <f t="shared" si="19"/>
        <v>11500</v>
      </c>
    </row>
    <row r="629" spans="1:20" ht="33.75">
      <c r="A629" s="17" t="s">
        <v>251</v>
      </c>
      <c r="B629" s="73">
        <v>1</v>
      </c>
      <c r="C629" s="67"/>
      <c r="D629" s="212">
        <v>12</v>
      </c>
      <c r="E629" s="218">
        <f t="shared" si="18"/>
        <v>138000</v>
      </c>
      <c r="F629" s="60" t="s">
        <v>166</v>
      </c>
      <c r="G629" s="66"/>
      <c r="H629" s="66"/>
      <c r="I629" s="66"/>
      <c r="J629" s="66"/>
      <c r="K629" s="66"/>
      <c r="L629" s="66"/>
      <c r="M629" s="66"/>
      <c r="N629" s="66"/>
      <c r="O629" s="66"/>
      <c r="P629" s="64">
        <v>11500</v>
      </c>
      <c r="Q629" s="66"/>
      <c r="R629" s="66"/>
      <c r="S629" s="214"/>
      <c r="T629" s="219">
        <f t="shared" si="19"/>
        <v>11500</v>
      </c>
    </row>
    <row r="630" spans="1:20" ht="33.75">
      <c r="A630" s="17" t="s">
        <v>210</v>
      </c>
      <c r="B630" s="73">
        <v>1</v>
      </c>
      <c r="C630" s="67"/>
      <c r="D630" s="212">
        <v>12</v>
      </c>
      <c r="E630" s="218">
        <f t="shared" si="18"/>
        <v>54000</v>
      </c>
      <c r="F630" s="60" t="s">
        <v>166</v>
      </c>
      <c r="G630" s="66"/>
      <c r="H630" s="66"/>
      <c r="I630" s="66"/>
      <c r="J630" s="66"/>
      <c r="K630" s="66"/>
      <c r="L630" s="66"/>
      <c r="M630" s="66"/>
      <c r="N630" s="66"/>
      <c r="O630" s="66"/>
      <c r="P630" s="64">
        <v>4500</v>
      </c>
      <c r="Q630" s="66"/>
      <c r="R630" s="66"/>
      <c r="S630" s="214"/>
      <c r="T630" s="219">
        <f t="shared" si="19"/>
        <v>4500</v>
      </c>
    </row>
    <row r="631" spans="1:20" ht="33.75">
      <c r="A631" s="17" t="s">
        <v>251</v>
      </c>
      <c r="B631" s="73">
        <v>1</v>
      </c>
      <c r="C631" s="67"/>
      <c r="D631" s="212">
        <v>12</v>
      </c>
      <c r="E631" s="218">
        <f t="shared" si="18"/>
        <v>78000</v>
      </c>
      <c r="F631" s="60" t="s">
        <v>166</v>
      </c>
      <c r="G631" s="66"/>
      <c r="H631" s="66"/>
      <c r="I631" s="66"/>
      <c r="J631" s="66"/>
      <c r="K631" s="66"/>
      <c r="L631" s="66"/>
      <c r="M631" s="66"/>
      <c r="N631" s="66"/>
      <c r="O631" s="66"/>
      <c r="P631" s="64">
        <v>6500</v>
      </c>
      <c r="Q631" s="66"/>
      <c r="R631" s="66"/>
      <c r="S631" s="214"/>
      <c r="T631" s="219">
        <f t="shared" si="19"/>
        <v>6500</v>
      </c>
    </row>
    <row r="632" spans="1:20" ht="33.75">
      <c r="A632" s="17" t="s">
        <v>251</v>
      </c>
      <c r="B632" s="73">
        <v>1</v>
      </c>
      <c r="C632" s="67"/>
      <c r="D632" s="212">
        <v>12</v>
      </c>
      <c r="E632" s="218">
        <f t="shared" si="18"/>
        <v>78000</v>
      </c>
      <c r="F632" s="60" t="s">
        <v>166</v>
      </c>
      <c r="G632" s="66"/>
      <c r="H632" s="66"/>
      <c r="I632" s="66"/>
      <c r="J632" s="66"/>
      <c r="K632" s="66"/>
      <c r="L632" s="66"/>
      <c r="M632" s="66"/>
      <c r="N632" s="66"/>
      <c r="O632" s="66"/>
      <c r="P632" s="64">
        <v>6500</v>
      </c>
      <c r="Q632" s="66"/>
      <c r="R632" s="66"/>
      <c r="S632" s="214"/>
      <c r="T632" s="219">
        <f t="shared" si="19"/>
        <v>6500</v>
      </c>
    </row>
    <row r="633" spans="1:20" ht="33.75">
      <c r="A633" s="17" t="s">
        <v>314</v>
      </c>
      <c r="B633" s="73">
        <v>1</v>
      </c>
      <c r="C633" s="67"/>
      <c r="D633" s="212">
        <v>12</v>
      </c>
      <c r="E633" s="218">
        <f t="shared" si="18"/>
        <v>96000</v>
      </c>
      <c r="F633" s="60" t="s">
        <v>166</v>
      </c>
      <c r="G633" s="66"/>
      <c r="H633" s="66"/>
      <c r="I633" s="66"/>
      <c r="J633" s="66"/>
      <c r="K633" s="66"/>
      <c r="L633" s="66"/>
      <c r="M633" s="66"/>
      <c r="N633" s="66"/>
      <c r="O633" s="66"/>
      <c r="P633" s="64">
        <v>8000</v>
      </c>
      <c r="Q633" s="66"/>
      <c r="R633" s="66"/>
      <c r="S633" s="214"/>
      <c r="T633" s="219">
        <f t="shared" si="19"/>
        <v>8000</v>
      </c>
    </row>
    <row r="634" spans="1:20" ht="45">
      <c r="A634" s="17" t="s">
        <v>252</v>
      </c>
      <c r="B634" s="73">
        <v>1</v>
      </c>
      <c r="C634" s="67"/>
      <c r="D634" s="212">
        <v>12</v>
      </c>
      <c r="E634" s="218">
        <f t="shared" si="18"/>
        <v>36000</v>
      </c>
      <c r="F634" s="60" t="s">
        <v>166</v>
      </c>
      <c r="G634" s="66"/>
      <c r="H634" s="66"/>
      <c r="I634" s="66"/>
      <c r="J634" s="66"/>
      <c r="K634" s="66"/>
      <c r="L634" s="66"/>
      <c r="M634" s="66"/>
      <c r="N634" s="66"/>
      <c r="O634" s="66"/>
      <c r="P634" s="64">
        <v>3000</v>
      </c>
      <c r="Q634" s="66"/>
      <c r="R634" s="66"/>
      <c r="S634" s="214"/>
      <c r="T634" s="219">
        <f t="shared" si="19"/>
        <v>3000</v>
      </c>
    </row>
    <row r="635" spans="1:20" ht="33.75">
      <c r="A635" s="17" t="s">
        <v>315</v>
      </c>
      <c r="B635" s="73">
        <v>1</v>
      </c>
      <c r="C635" s="67"/>
      <c r="D635" s="212">
        <v>12</v>
      </c>
      <c r="E635" s="218">
        <f t="shared" si="18"/>
        <v>186000</v>
      </c>
      <c r="F635" s="60" t="s">
        <v>166</v>
      </c>
      <c r="G635" s="66"/>
      <c r="H635" s="66"/>
      <c r="I635" s="66"/>
      <c r="J635" s="66"/>
      <c r="K635" s="66"/>
      <c r="L635" s="66"/>
      <c r="M635" s="66"/>
      <c r="N635" s="66"/>
      <c r="O635" s="66"/>
      <c r="P635" s="64">
        <v>15500</v>
      </c>
      <c r="Q635" s="66"/>
      <c r="R635" s="66"/>
      <c r="S635" s="214"/>
      <c r="T635" s="219">
        <f t="shared" si="19"/>
        <v>15500</v>
      </c>
    </row>
    <row r="636" spans="1:20" ht="33.75">
      <c r="A636" s="17" t="s">
        <v>315</v>
      </c>
      <c r="B636" s="73">
        <v>1</v>
      </c>
      <c r="C636" s="67"/>
      <c r="D636" s="212">
        <v>12</v>
      </c>
      <c r="E636" s="218">
        <f t="shared" si="18"/>
        <v>162000</v>
      </c>
      <c r="F636" s="60" t="s">
        <v>166</v>
      </c>
      <c r="G636" s="66"/>
      <c r="H636" s="66"/>
      <c r="I636" s="66"/>
      <c r="J636" s="66"/>
      <c r="K636" s="66"/>
      <c r="L636" s="66"/>
      <c r="M636" s="66"/>
      <c r="N636" s="66"/>
      <c r="O636" s="66"/>
      <c r="P636" s="64">
        <v>13500</v>
      </c>
      <c r="Q636" s="66"/>
      <c r="R636" s="66"/>
      <c r="S636" s="214"/>
      <c r="T636" s="219">
        <f t="shared" si="19"/>
        <v>13500</v>
      </c>
    </row>
    <row r="637" spans="1:20" ht="33.75">
      <c r="A637" s="17" t="s">
        <v>316</v>
      </c>
      <c r="B637" s="73">
        <v>1</v>
      </c>
      <c r="C637" s="67"/>
      <c r="D637" s="212">
        <v>12</v>
      </c>
      <c r="E637" s="218">
        <f t="shared" si="18"/>
        <v>198000</v>
      </c>
      <c r="F637" s="60" t="s">
        <v>166</v>
      </c>
      <c r="G637" s="66"/>
      <c r="H637" s="66"/>
      <c r="I637" s="66"/>
      <c r="J637" s="66"/>
      <c r="K637" s="66"/>
      <c r="L637" s="66"/>
      <c r="M637" s="66"/>
      <c r="N637" s="66"/>
      <c r="O637" s="66"/>
      <c r="P637" s="64">
        <v>16500</v>
      </c>
      <c r="Q637" s="66"/>
      <c r="R637" s="66"/>
      <c r="S637" s="214"/>
      <c r="T637" s="219">
        <f t="shared" si="19"/>
        <v>16500</v>
      </c>
    </row>
    <row r="638" spans="1:20" ht="33.75">
      <c r="A638" s="17" t="s">
        <v>317</v>
      </c>
      <c r="B638" s="73">
        <v>1</v>
      </c>
      <c r="C638" s="67"/>
      <c r="D638" s="212">
        <v>12</v>
      </c>
      <c r="E638" s="218">
        <f t="shared" si="18"/>
        <v>174000</v>
      </c>
      <c r="F638" s="60" t="s">
        <v>166</v>
      </c>
      <c r="G638" s="66"/>
      <c r="H638" s="66"/>
      <c r="I638" s="66"/>
      <c r="J638" s="66"/>
      <c r="K638" s="66"/>
      <c r="L638" s="66"/>
      <c r="M638" s="66"/>
      <c r="N638" s="66"/>
      <c r="O638" s="66"/>
      <c r="P638" s="64">
        <v>14500</v>
      </c>
      <c r="Q638" s="66"/>
      <c r="R638" s="66"/>
      <c r="S638" s="214"/>
      <c r="T638" s="219">
        <f t="shared" si="19"/>
        <v>14500</v>
      </c>
    </row>
    <row r="639" spans="1:20" ht="45">
      <c r="A639" s="17" t="s">
        <v>318</v>
      </c>
      <c r="B639" s="73">
        <v>1</v>
      </c>
      <c r="C639" s="67"/>
      <c r="D639" s="212">
        <v>12</v>
      </c>
      <c r="E639" s="218">
        <f t="shared" si="18"/>
        <v>174000</v>
      </c>
      <c r="F639" s="60" t="s">
        <v>166</v>
      </c>
      <c r="G639" s="66"/>
      <c r="H639" s="66"/>
      <c r="I639" s="66"/>
      <c r="J639" s="66"/>
      <c r="K639" s="66"/>
      <c r="L639" s="66"/>
      <c r="M639" s="66"/>
      <c r="N639" s="66"/>
      <c r="O639" s="66"/>
      <c r="P639" s="64">
        <v>14500</v>
      </c>
      <c r="Q639" s="66"/>
      <c r="R639" s="66"/>
      <c r="S639" s="214"/>
      <c r="T639" s="219">
        <f t="shared" si="19"/>
        <v>14500</v>
      </c>
    </row>
    <row r="640" spans="1:20" ht="45">
      <c r="A640" s="17" t="s">
        <v>319</v>
      </c>
      <c r="B640" s="73">
        <v>1</v>
      </c>
      <c r="C640" s="67"/>
      <c r="D640" s="212">
        <v>12</v>
      </c>
      <c r="E640" s="218">
        <f t="shared" si="18"/>
        <v>168000</v>
      </c>
      <c r="F640" s="60" t="s">
        <v>166</v>
      </c>
      <c r="G640" s="66"/>
      <c r="H640" s="66"/>
      <c r="I640" s="66"/>
      <c r="J640" s="66"/>
      <c r="K640" s="66"/>
      <c r="L640" s="66"/>
      <c r="M640" s="66"/>
      <c r="N640" s="66"/>
      <c r="O640" s="66"/>
      <c r="P640" s="64">
        <v>14000</v>
      </c>
      <c r="Q640" s="66"/>
      <c r="R640" s="66"/>
      <c r="S640" s="214"/>
      <c r="T640" s="219">
        <f t="shared" si="19"/>
        <v>14000</v>
      </c>
    </row>
    <row r="641" spans="1:20" ht="33.75">
      <c r="A641" s="17" t="s">
        <v>316</v>
      </c>
      <c r="B641" s="73">
        <v>1</v>
      </c>
      <c r="C641" s="67"/>
      <c r="D641" s="212">
        <v>12</v>
      </c>
      <c r="E641" s="218">
        <f t="shared" si="18"/>
        <v>144000</v>
      </c>
      <c r="F641" s="60" t="s">
        <v>166</v>
      </c>
      <c r="G641" s="66"/>
      <c r="H641" s="66"/>
      <c r="I641" s="66"/>
      <c r="J641" s="66"/>
      <c r="K641" s="66"/>
      <c r="L641" s="66"/>
      <c r="M641" s="66"/>
      <c r="N641" s="66"/>
      <c r="O641" s="66"/>
      <c r="P641" s="64">
        <v>12000</v>
      </c>
      <c r="Q641" s="66"/>
      <c r="R641" s="66"/>
      <c r="S641" s="214"/>
      <c r="T641" s="219">
        <f t="shared" si="19"/>
        <v>12000</v>
      </c>
    </row>
    <row r="642" spans="1:20" ht="33.75">
      <c r="A642" s="17" t="s">
        <v>316</v>
      </c>
      <c r="B642" s="73">
        <v>1</v>
      </c>
      <c r="C642" s="67"/>
      <c r="D642" s="212">
        <v>12</v>
      </c>
      <c r="E642" s="218">
        <f t="shared" si="18"/>
        <v>144000</v>
      </c>
      <c r="F642" s="60" t="s">
        <v>166</v>
      </c>
      <c r="G642" s="66"/>
      <c r="H642" s="66"/>
      <c r="I642" s="66"/>
      <c r="J642" s="66"/>
      <c r="K642" s="66"/>
      <c r="L642" s="66"/>
      <c r="M642" s="66"/>
      <c r="N642" s="66"/>
      <c r="O642" s="66"/>
      <c r="P642" s="64">
        <v>12000</v>
      </c>
      <c r="Q642" s="66"/>
      <c r="R642" s="66"/>
      <c r="S642" s="214"/>
      <c r="T642" s="219">
        <f t="shared" si="19"/>
        <v>12000</v>
      </c>
    </row>
    <row r="643" spans="1:20" ht="33.75">
      <c r="A643" s="17" t="s">
        <v>315</v>
      </c>
      <c r="B643" s="73">
        <v>1</v>
      </c>
      <c r="C643" s="67"/>
      <c r="D643" s="212">
        <v>12</v>
      </c>
      <c r="E643" s="218">
        <f t="shared" si="18"/>
        <v>222000</v>
      </c>
      <c r="F643" s="60" t="s">
        <v>166</v>
      </c>
      <c r="G643" s="66"/>
      <c r="H643" s="66"/>
      <c r="I643" s="66"/>
      <c r="J643" s="66"/>
      <c r="K643" s="66"/>
      <c r="L643" s="66"/>
      <c r="M643" s="66"/>
      <c r="N643" s="66"/>
      <c r="O643" s="66"/>
      <c r="P643" s="64">
        <v>18500</v>
      </c>
      <c r="Q643" s="66"/>
      <c r="R643" s="66"/>
      <c r="S643" s="214"/>
      <c r="T643" s="219">
        <f t="shared" si="19"/>
        <v>18500</v>
      </c>
    </row>
    <row r="644" spans="1:20" ht="33.75">
      <c r="A644" s="17" t="s">
        <v>315</v>
      </c>
      <c r="B644" s="73">
        <v>1</v>
      </c>
      <c r="C644" s="67"/>
      <c r="D644" s="212">
        <v>12</v>
      </c>
      <c r="E644" s="218">
        <f t="shared" si="18"/>
        <v>264000</v>
      </c>
      <c r="F644" s="60" t="s">
        <v>166</v>
      </c>
      <c r="G644" s="66"/>
      <c r="H644" s="66"/>
      <c r="I644" s="66"/>
      <c r="J644" s="66"/>
      <c r="K644" s="66"/>
      <c r="L644" s="66"/>
      <c r="M644" s="66"/>
      <c r="N644" s="66"/>
      <c r="O644" s="66"/>
      <c r="P644" s="64">
        <v>22000</v>
      </c>
      <c r="Q644" s="66"/>
      <c r="R644" s="66"/>
      <c r="S644" s="214"/>
      <c r="T644" s="219">
        <f t="shared" si="19"/>
        <v>22000</v>
      </c>
    </row>
    <row r="645" spans="1:20" ht="33.75">
      <c r="A645" s="17" t="s">
        <v>316</v>
      </c>
      <c r="B645" s="73">
        <v>1</v>
      </c>
      <c r="C645" s="67"/>
      <c r="D645" s="212">
        <v>12</v>
      </c>
      <c r="E645" s="218">
        <f t="shared" si="18"/>
        <v>144000</v>
      </c>
      <c r="F645" s="60" t="s">
        <v>166</v>
      </c>
      <c r="G645" s="66"/>
      <c r="H645" s="66"/>
      <c r="I645" s="66"/>
      <c r="J645" s="66"/>
      <c r="K645" s="66"/>
      <c r="L645" s="66"/>
      <c r="M645" s="66"/>
      <c r="N645" s="66"/>
      <c r="O645" s="66"/>
      <c r="P645" s="64">
        <v>12000</v>
      </c>
      <c r="Q645" s="66"/>
      <c r="R645" s="66"/>
      <c r="S645" s="214"/>
      <c r="T645" s="219">
        <f t="shared" si="19"/>
        <v>12000</v>
      </c>
    </row>
    <row r="646" spans="1:20" ht="33.75">
      <c r="A646" s="17" t="s">
        <v>255</v>
      </c>
      <c r="B646" s="73">
        <v>1</v>
      </c>
      <c r="C646" s="67"/>
      <c r="D646" s="212">
        <v>12</v>
      </c>
      <c r="E646" s="218">
        <f t="shared" si="18"/>
        <v>36000</v>
      </c>
      <c r="F646" s="60" t="s">
        <v>166</v>
      </c>
      <c r="G646" s="66"/>
      <c r="H646" s="66"/>
      <c r="I646" s="66"/>
      <c r="J646" s="66"/>
      <c r="K646" s="66"/>
      <c r="L646" s="66"/>
      <c r="M646" s="66"/>
      <c r="N646" s="66"/>
      <c r="O646" s="66"/>
      <c r="P646" s="64">
        <v>3000</v>
      </c>
      <c r="Q646" s="66"/>
      <c r="R646" s="66"/>
      <c r="S646" s="214"/>
      <c r="T646" s="219">
        <f t="shared" si="19"/>
        <v>3000</v>
      </c>
    </row>
    <row r="647" spans="1:20" ht="33.75">
      <c r="A647" s="17" t="s">
        <v>255</v>
      </c>
      <c r="B647" s="73">
        <v>1</v>
      </c>
      <c r="C647" s="67"/>
      <c r="D647" s="212">
        <v>12</v>
      </c>
      <c r="E647" s="218">
        <f t="shared" ref="E647:E710" si="20">T647*12</f>
        <v>36000</v>
      </c>
      <c r="F647" s="60" t="s">
        <v>166</v>
      </c>
      <c r="G647" s="66"/>
      <c r="H647" s="66"/>
      <c r="I647" s="66"/>
      <c r="J647" s="66"/>
      <c r="K647" s="66"/>
      <c r="L647" s="66"/>
      <c r="M647" s="66"/>
      <c r="N647" s="66"/>
      <c r="O647" s="66"/>
      <c r="P647" s="64">
        <v>3000</v>
      </c>
      <c r="Q647" s="66"/>
      <c r="R647" s="66"/>
      <c r="S647" s="214"/>
      <c r="T647" s="219">
        <f t="shared" si="19"/>
        <v>3000</v>
      </c>
    </row>
    <row r="648" spans="1:20" ht="33.75">
      <c r="A648" s="17" t="s">
        <v>255</v>
      </c>
      <c r="B648" s="73">
        <v>1</v>
      </c>
      <c r="C648" s="67"/>
      <c r="D648" s="212">
        <v>12</v>
      </c>
      <c r="E648" s="218">
        <f t="shared" si="20"/>
        <v>36000</v>
      </c>
      <c r="F648" s="60" t="s">
        <v>166</v>
      </c>
      <c r="G648" s="66"/>
      <c r="H648" s="66"/>
      <c r="I648" s="66"/>
      <c r="J648" s="66"/>
      <c r="K648" s="66"/>
      <c r="L648" s="66"/>
      <c r="M648" s="66"/>
      <c r="N648" s="66"/>
      <c r="O648" s="66"/>
      <c r="P648" s="64">
        <v>3000</v>
      </c>
      <c r="Q648" s="66"/>
      <c r="R648" s="66"/>
      <c r="S648" s="214"/>
      <c r="T648" s="219">
        <f t="shared" ref="T648:T711" si="21">SUM(G648:S648)</f>
        <v>3000</v>
      </c>
    </row>
    <row r="649" spans="1:20" ht="33.75">
      <c r="A649" s="17" t="s">
        <v>255</v>
      </c>
      <c r="B649" s="73">
        <v>1</v>
      </c>
      <c r="C649" s="67"/>
      <c r="D649" s="212">
        <v>12</v>
      </c>
      <c r="E649" s="218">
        <f t="shared" si="20"/>
        <v>36000</v>
      </c>
      <c r="F649" s="60" t="s">
        <v>166</v>
      </c>
      <c r="G649" s="66"/>
      <c r="H649" s="66"/>
      <c r="I649" s="66"/>
      <c r="J649" s="66"/>
      <c r="K649" s="66"/>
      <c r="L649" s="66"/>
      <c r="M649" s="66"/>
      <c r="N649" s="66"/>
      <c r="O649" s="66"/>
      <c r="P649" s="64">
        <v>3000</v>
      </c>
      <c r="Q649" s="66"/>
      <c r="R649" s="66"/>
      <c r="S649" s="214"/>
      <c r="T649" s="219">
        <f t="shared" si="21"/>
        <v>3000</v>
      </c>
    </row>
    <row r="650" spans="1:20" ht="22.5">
      <c r="A650" s="17" t="s">
        <v>320</v>
      </c>
      <c r="B650" s="73">
        <v>1</v>
      </c>
      <c r="C650" s="67"/>
      <c r="D650" s="212">
        <v>12</v>
      </c>
      <c r="E650" s="218">
        <f t="shared" si="20"/>
        <v>96000</v>
      </c>
      <c r="F650" s="60" t="s">
        <v>166</v>
      </c>
      <c r="G650" s="66"/>
      <c r="H650" s="66"/>
      <c r="I650" s="66"/>
      <c r="J650" s="66"/>
      <c r="K650" s="66"/>
      <c r="L650" s="66"/>
      <c r="M650" s="66"/>
      <c r="N650" s="66"/>
      <c r="O650" s="66"/>
      <c r="P650" s="64">
        <v>8000</v>
      </c>
      <c r="Q650" s="66"/>
      <c r="R650" s="66"/>
      <c r="S650" s="214"/>
      <c r="T650" s="219">
        <f t="shared" si="21"/>
        <v>8000</v>
      </c>
    </row>
    <row r="651" spans="1:20" ht="33.75">
      <c r="A651" s="17" t="s">
        <v>256</v>
      </c>
      <c r="B651" s="73">
        <v>1</v>
      </c>
      <c r="C651" s="67"/>
      <c r="D651" s="212">
        <v>12</v>
      </c>
      <c r="E651" s="218">
        <f t="shared" si="20"/>
        <v>36000</v>
      </c>
      <c r="F651" s="60" t="s">
        <v>166</v>
      </c>
      <c r="G651" s="66"/>
      <c r="H651" s="66"/>
      <c r="I651" s="66"/>
      <c r="J651" s="66"/>
      <c r="K651" s="66"/>
      <c r="L651" s="66"/>
      <c r="M651" s="66"/>
      <c r="N651" s="66"/>
      <c r="O651" s="66"/>
      <c r="P651" s="64">
        <v>3000</v>
      </c>
      <c r="Q651" s="66"/>
      <c r="R651" s="66"/>
      <c r="S651" s="214"/>
      <c r="T651" s="219">
        <f t="shared" si="21"/>
        <v>3000</v>
      </c>
    </row>
    <row r="652" spans="1:20" ht="33.75">
      <c r="A652" s="17" t="s">
        <v>256</v>
      </c>
      <c r="B652" s="73">
        <v>1</v>
      </c>
      <c r="C652" s="67"/>
      <c r="D652" s="212">
        <v>12</v>
      </c>
      <c r="E652" s="218">
        <f t="shared" si="20"/>
        <v>36000</v>
      </c>
      <c r="F652" s="60" t="s">
        <v>166</v>
      </c>
      <c r="G652" s="66"/>
      <c r="H652" s="66"/>
      <c r="I652" s="66"/>
      <c r="J652" s="66"/>
      <c r="K652" s="66"/>
      <c r="L652" s="66"/>
      <c r="M652" s="66"/>
      <c r="N652" s="66"/>
      <c r="O652" s="66"/>
      <c r="P652" s="64">
        <v>3000</v>
      </c>
      <c r="Q652" s="66"/>
      <c r="R652" s="66"/>
      <c r="S652" s="214"/>
      <c r="T652" s="219">
        <f t="shared" si="21"/>
        <v>3000</v>
      </c>
    </row>
    <row r="653" spans="1:20" ht="33.75">
      <c r="A653" s="17" t="s">
        <v>257</v>
      </c>
      <c r="B653" s="73">
        <v>1</v>
      </c>
      <c r="C653" s="67"/>
      <c r="D653" s="212">
        <v>12</v>
      </c>
      <c r="E653" s="218">
        <f t="shared" si="20"/>
        <v>42000</v>
      </c>
      <c r="F653" s="60" t="s">
        <v>166</v>
      </c>
      <c r="G653" s="66"/>
      <c r="H653" s="66"/>
      <c r="I653" s="66"/>
      <c r="J653" s="66"/>
      <c r="K653" s="66"/>
      <c r="L653" s="66"/>
      <c r="M653" s="66"/>
      <c r="N653" s="66"/>
      <c r="O653" s="66"/>
      <c r="P653" s="64">
        <v>3500</v>
      </c>
      <c r="Q653" s="66"/>
      <c r="R653" s="66"/>
      <c r="S653" s="214"/>
      <c r="T653" s="219">
        <f t="shared" si="21"/>
        <v>3500</v>
      </c>
    </row>
    <row r="654" spans="1:20" ht="33.75">
      <c r="A654" s="17" t="s">
        <v>257</v>
      </c>
      <c r="B654" s="73">
        <v>1</v>
      </c>
      <c r="C654" s="67"/>
      <c r="D654" s="212">
        <v>12</v>
      </c>
      <c r="E654" s="218">
        <f t="shared" si="20"/>
        <v>36000</v>
      </c>
      <c r="F654" s="60" t="s">
        <v>166</v>
      </c>
      <c r="G654" s="66"/>
      <c r="H654" s="66"/>
      <c r="I654" s="66"/>
      <c r="J654" s="66"/>
      <c r="K654" s="66"/>
      <c r="L654" s="66"/>
      <c r="M654" s="66"/>
      <c r="N654" s="66"/>
      <c r="O654" s="66"/>
      <c r="P654" s="64">
        <v>3000</v>
      </c>
      <c r="Q654" s="66"/>
      <c r="R654" s="66"/>
      <c r="S654" s="214"/>
      <c r="T654" s="219">
        <f t="shared" si="21"/>
        <v>3000</v>
      </c>
    </row>
    <row r="655" spans="1:20" ht="33.75">
      <c r="A655" s="17" t="s">
        <v>321</v>
      </c>
      <c r="B655" s="73">
        <v>1</v>
      </c>
      <c r="C655" s="67"/>
      <c r="D655" s="212">
        <v>12</v>
      </c>
      <c r="E655" s="218">
        <f t="shared" si="20"/>
        <v>60000</v>
      </c>
      <c r="F655" s="60" t="s">
        <v>166</v>
      </c>
      <c r="G655" s="66"/>
      <c r="H655" s="66"/>
      <c r="I655" s="66"/>
      <c r="J655" s="66"/>
      <c r="K655" s="66"/>
      <c r="L655" s="66"/>
      <c r="M655" s="66"/>
      <c r="N655" s="66"/>
      <c r="O655" s="66"/>
      <c r="P655" s="64">
        <v>5000</v>
      </c>
      <c r="Q655" s="66"/>
      <c r="R655" s="66"/>
      <c r="S655" s="214"/>
      <c r="T655" s="219">
        <f t="shared" si="21"/>
        <v>5000</v>
      </c>
    </row>
    <row r="656" spans="1:20" ht="33.75">
      <c r="A656" s="17" t="s">
        <v>259</v>
      </c>
      <c r="B656" s="73">
        <v>1</v>
      </c>
      <c r="C656" s="67"/>
      <c r="D656" s="212">
        <v>12</v>
      </c>
      <c r="E656" s="218">
        <f t="shared" si="20"/>
        <v>36000</v>
      </c>
      <c r="F656" s="60" t="s">
        <v>166</v>
      </c>
      <c r="G656" s="66"/>
      <c r="H656" s="66"/>
      <c r="I656" s="66"/>
      <c r="J656" s="66"/>
      <c r="K656" s="66"/>
      <c r="L656" s="66"/>
      <c r="M656" s="66"/>
      <c r="N656" s="66"/>
      <c r="O656" s="66"/>
      <c r="P656" s="64">
        <v>3000</v>
      </c>
      <c r="Q656" s="66"/>
      <c r="R656" s="66"/>
      <c r="S656" s="214"/>
      <c r="T656" s="219">
        <f t="shared" si="21"/>
        <v>3000</v>
      </c>
    </row>
    <row r="657" spans="1:20" ht="33.75">
      <c r="A657" s="17" t="s">
        <v>259</v>
      </c>
      <c r="B657" s="73">
        <v>1</v>
      </c>
      <c r="C657" s="67"/>
      <c r="D657" s="212">
        <v>12</v>
      </c>
      <c r="E657" s="218">
        <f t="shared" si="20"/>
        <v>36000</v>
      </c>
      <c r="F657" s="60" t="s">
        <v>166</v>
      </c>
      <c r="G657" s="66"/>
      <c r="H657" s="66"/>
      <c r="I657" s="66"/>
      <c r="J657" s="66"/>
      <c r="K657" s="66"/>
      <c r="L657" s="66"/>
      <c r="M657" s="66"/>
      <c r="N657" s="66"/>
      <c r="O657" s="66"/>
      <c r="P657" s="64">
        <v>3000</v>
      </c>
      <c r="Q657" s="66"/>
      <c r="R657" s="66"/>
      <c r="S657" s="214"/>
      <c r="T657" s="219">
        <f t="shared" si="21"/>
        <v>3000</v>
      </c>
    </row>
    <row r="658" spans="1:20" ht="33.75">
      <c r="A658" s="17" t="s">
        <v>322</v>
      </c>
      <c r="B658" s="73">
        <v>1</v>
      </c>
      <c r="C658" s="67"/>
      <c r="D658" s="212">
        <v>12</v>
      </c>
      <c r="E658" s="218">
        <f t="shared" si="20"/>
        <v>36000</v>
      </c>
      <c r="F658" s="60" t="s">
        <v>166</v>
      </c>
      <c r="G658" s="66"/>
      <c r="H658" s="66"/>
      <c r="I658" s="66"/>
      <c r="J658" s="66"/>
      <c r="K658" s="66"/>
      <c r="L658" s="66"/>
      <c r="M658" s="66"/>
      <c r="N658" s="66"/>
      <c r="O658" s="66"/>
      <c r="P658" s="64">
        <v>3000</v>
      </c>
      <c r="Q658" s="66"/>
      <c r="R658" s="66"/>
      <c r="S658" s="214"/>
      <c r="T658" s="219">
        <f t="shared" si="21"/>
        <v>3000</v>
      </c>
    </row>
    <row r="659" spans="1:20" ht="22.5">
      <c r="A659" s="17" t="s">
        <v>323</v>
      </c>
      <c r="B659" s="73">
        <v>1</v>
      </c>
      <c r="C659" s="67"/>
      <c r="D659" s="212">
        <v>12</v>
      </c>
      <c r="E659" s="218">
        <f t="shared" si="20"/>
        <v>96000</v>
      </c>
      <c r="F659" s="60" t="s">
        <v>166</v>
      </c>
      <c r="G659" s="66"/>
      <c r="H659" s="66"/>
      <c r="I659" s="66"/>
      <c r="J659" s="66"/>
      <c r="K659" s="66"/>
      <c r="L659" s="66"/>
      <c r="M659" s="66"/>
      <c r="N659" s="66"/>
      <c r="O659" s="66"/>
      <c r="P659" s="64">
        <v>8000</v>
      </c>
      <c r="Q659" s="66"/>
      <c r="R659" s="66"/>
      <c r="S659" s="214"/>
      <c r="T659" s="219">
        <f t="shared" si="21"/>
        <v>8000</v>
      </c>
    </row>
    <row r="660" spans="1:20" ht="22.5">
      <c r="A660" s="17" t="s">
        <v>260</v>
      </c>
      <c r="B660" s="73">
        <v>1</v>
      </c>
      <c r="C660" s="67"/>
      <c r="D660" s="212">
        <v>12</v>
      </c>
      <c r="E660" s="218">
        <f t="shared" si="20"/>
        <v>36000</v>
      </c>
      <c r="F660" s="60" t="s">
        <v>166</v>
      </c>
      <c r="G660" s="66"/>
      <c r="H660" s="66"/>
      <c r="I660" s="66"/>
      <c r="J660" s="66"/>
      <c r="K660" s="66"/>
      <c r="L660" s="66"/>
      <c r="M660" s="66"/>
      <c r="N660" s="66"/>
      <c r="O660" s="66"/>
      <c r="P660" s="64">
        <v>3000</v>
      </c>
      <c r="Q660" s="66"/>
      <c r="R660" s="66"/>
      <c r="S660" s="214"/>
      <c r="T660" s="219">
        <f t="shared" si="21"/>
        <v>3000</v>
      </c>
    </row>
    <row r="661" spans="1:20" ht="22.5">
      <c r="A661" s="17" t="s">
        <v>260</v>
      </c>
      <c r="B661" s="73">
        <v>1</v>
      </c>
      <c r="C661" s="67"/>
      <c r="D661" s="212">
        <v>12</v>
      </c>
      <c r="E661" s="218">
        <f t="shared" si="20"/>
        <v>36000</v>
      </c>
      <c r="F661" s="60" t="s">
        <v>166</v>
      </c>
      <c r="G661" s="66"/>
      <c r="H661" s="66"/>
      <c r="I661" s="66"/>
      <c r="J661" s="66"/>
      <c r="K661" s="66"/>
      <c r="L661" s="66"/>
      <c r="M661" s="66"/>
      <c r="N661" s="66"/>
      <c r="O661" s="66"/>
      <c r="P661" s="64">
        <v>3000</v>
      </c>
      <c r="Q661" s="66"/>
      <c r="R661" s="66"/>
      <c r="S661" s="214"/>
      <c r="T661" s="219">
        <f t="shared" si="21"/>
        <v>3000</v>
      </c>
    </row>
    <row r="662" spans="1:20" ht="33.75">
      <c r="A662" s="17" t="s">
        <v>324</v>
      </c>
      <c r="B662" s="73">
        <v>1</v>
      </c>
      <c r="C662" s="67"/>
      <c r="D662" s="212">
        <v>12</v>
      </c>
      <c r="E662" s="218">
        <f t="shared" si="20"/>
        <v>33600</v>
      </c>
      <c r="F662" s="60" t="s">
        <v>166</v>
      </c>
      <c r="G662" s="66"/>
      <c r="H662" s="66"/>
      <c r="I662" s="66"/>
      <c r="J662" s="66"/>
      <c r="K662" s="66"/>
      <c r="L662" s="66"/>
      <c r="M662" s="66"/>
      <c r="N662" s="66"/>
      <c r="O662" s="66"/>
      <c r="P662" s="64">
        <v>2800</v>
      </c>
      <c r="Q662" s="66"/>
      <c r="R662" s="66"/>
      <c r="S662" s="214"/>
      <c r="T662" s="219">
        <f t="shared" si="21"/>
        <v>2800</v>
      </c>
    </row>
    <row r="663" spans="1:20" ht="33.75">
      <c r="A663" s="17" t="s">
        <v>264</v>
      </c>
      <c r="B663" s="73">
        <v>1</v>
      </c>
      <c r="C663" s="67"/>
      <c r="D663" s="212">
        <v>12</v>
      </c>
      <c r="E663" s="218">
        <f t="shared" si="20"/>
        <v>36000</v>
      </c>
      <c r="F663" s="60" t="s">
        <v>166</v>
      </c>
      <c r="G663" s="66"/>
      <c r="H663" s="66"/>
      <c r="I663" s="66"/>
      <c r="J663" s="66"/>
      <c r="K663" s="66"/>
      <c r="L663" s="66"/>
      <c r="M663" s="66"/>
      <c r="N663" s="66"/>
      <c r="O663" s="66"/>
      <c r="P663" s="64">
        <v>3000</v>
      </c>
      <c r="Q663" s="66"/>
      <c r="R663" s="66"/>
      <c r="S663" s="214"/>
      <c r="T663" s="219">
        <f t="shared" si="21"/>
        <v>3000</v>
      </c>
    </row>
    <row r="664" spans="1:20" ht="33.75">
      <c r="A664" s="17" t="s">
        <v>264</v>
      </c>
      <c r="B664" s="73">
        <v>1</v>
      </c>
      <c r="C664" s="67"/>
      <c r="D664" s="212">
        <v>12</v>
      </c>
      <c r="E664" s="218">
        <f t="shared" si="20"/>
        <v>36000</v>
      </c>
      <c r="F664" s="60" t="s">
        <v>166</v>
      </c>
      <c r="G664" s="66"/>
      <c r="H664" s="66"/>
      <c r="I664" s="66"/>
      <c r="J664" s="66"/>
      <c r="K664" s="66"/>
      <c r="L664" s="66"/>
      <c r="M664" s="66"/>
      <c r="N664" s="66"/>
      <c r="O664" s="66"/>
      <c r="P664" s="64">
        <v>3000</v>
      </c>
      <c r="Q664" s="66"/>
      <c r="R664" s="66"/>
      <c r="S664" s="214"/>
      <c r="T664" s="219">
        <f t="shared" si="21"/>
        <v>3000</v>
      </c>
    </row>
    <row r="665" spans="1:20" ht="33.75">
      <c r="A665" s="17" t="s">
        <v>265</v>
      </c>
      <c r="B665" s="73">
        <v>1</v>
      </c>
      <c r="C665" s="67"/>
      <c r="D665" s="212">
        <v>12</v>
      </c>
      <c r="E665" s="218">
        <f t="shared" si="20"/>
        <v>36000</v>
      </c>
      <c r="F665" s="60" t="s">
        <v>166</v>
      </c>
      <c r="G665" s="66"/>
      <c r="H665" s="66"/>
      <c r="I665" s="66"/>
      <c r="J665" s="66"/>
      <c r="K665" s="66"/>
      <c r="L665" s="66"/>
      <c r="M665" s="66"/>
      <c r="N665" s="66"/>
      <c r="O665" s="66"/>
      <c r="P665" s="64">
        <v>3000</v>
      </c>
      <c r="Q665" s="66"/>
      <c r="R665" s="66"/>
      <c r="S665" s="214"/>
      <c r="T665" s="219">
        <f t="shared" si="21"/>
        <v>3000</v>
      </c>
    </row>
    <row r="666" spans="1:20" ht="33.75">
      <c r="A666" s="17" t="s">
        <v>325</v>
      </c>
      <c r="B666" s="73">
        <v>1</v>
      </c>
      <c r="C666" s="67"/>
      <c r="D666" s="212">
        <v>12</v>
      </c>
      <c r="E666" s="218">
        <f t="shared" si="20"/>
        <v>96000</v>
      </c>
      <c r="F666" s="60" t="s">
        <v>166</v>
      </c>
      <c r="G666" s="66"/>
      <c r="H666" s="66"/>
      <c r="I666" s="66"/>
      <c r="J666" s="66"/>
      <c r="K666" s="66"/>
      <c r="L666" s="66"/>
      <c r="M666" s="66"/>
      <c r="N666" s="66"/>
      <c r="O666" s="66"/>
      <c r="P666" s="64">
        <v>8000</v>
      </c>
      <c r="Q666" s="66"/>
      <c r="R666" s="66"/>
      <c r="S666" s="214"/>
      <c r="T666" s="219">
        <f t="shared" si="21"/>
        <v>8000</v>
      </c>
    </row>
    <row r="667" spans="1:20" ht="56.25">
      <c r="A667" s="17" t="s">
        <v>326</v>
      </c>
      <c r="B667" s="73">
        <v>1</v>
      </c>
      <c r="C667" s="67"/>
      <c r="D667" s="212">
        <v>12</v>
      </c>
      <c r="E667" s="218">
        <f t="shared" si="20"/>
        <v>162000</v>
      </c>
      <c r="F667" s="60" t="s">
        <v>166</v>
      </c>
      <c r="G667" s="66"/>
      <c r="H667" s="66"/>
      <c r="I667" s="66"/>
      <c r="J667" s="66"/>
      <c r="K667" s="66"/>
      <c r="L667" s="66"/>
      <c r="M667" s="66"/>
      <c r="N667" s="66"/>
      <c r="O667" s="66"/>
      <c r="P667" s="64">
        <v>13500</v>
      </c>
      <c r="Q667" s="66"/>
      <c r="R667" s="66"/>
      <c r="S667" s="214"/>
      <c r="T667" s="219">
        <f t="shared" si="21"/>
        <v>13500</v>
      </c>
    </row>
    <row r="668" spans="1:20" ht="33.75">
      <c r="A668" s="17" t="s">
        <v>327</v>
      </c>
      <c r="B668" s="73">
        <v>1</v>
      </c>
      <c r="C668" s="67"/>
      <c r="D668" s="212">
        <v>12</v>
      </c>
      <c r="E668" s="218">
        <f t="shared" si="20"/>
        <v>111600</v>
      </c>
      <c r="F668" s="60" t="s">
        <v>166</v>
      </c>
      <c r="G668" s="66"/>
      <c r="H668" s="66"/>
      <c r="I668" s="66"/>
      <c r="J668" s="66"/>
      <c r="K668" s="66"/>
      <c r="L668" s="66"/>
      <c r="M668" s="66"/>
      <c r="N668" s="66"/>
      <c r="O668" s="66"/>
      <c r="P668" s="64">
        <v>9300</v>
      </c>
      <c r="Q668" s="66"/>
      <c r="R668" s="66"/>
      <c r="S668" s="214"/>
      <c r="T668" s="219">
        <f t="shared" si="21"/>
        <v>9300</v>
      </c>
    </row>
    <row r="669" spans="1:20" ht="33.75">
      <c r="A669" s="17" t="s">
        <v>327</v>
      </c>
      <c r="B669" s="73">
        <v>1</v>
      </c>
      <c r="C669" s="67"/>
      <c r="D669" s="212">
        <v>12</v>
      </c>
      <c r="E669" s="218">
        <f t="shared" si="20"/>
        <v>144000</v>
      </c>
      <c r="F669" s="60" t="s">
        <v>166</v>
      </c>
      <c r="G669" s="66"/>
      <c r="H669" s="66"/>
      <c r="I669" s="66"/>
      <c r="J669" s="66"/>
      <c r="K669" s="66"/>
      <c r="L669" s="66"/>
      <c r="M669" s="66"/>
      <c r="N669" s="66"/>
      <c r="O669" s="66"/>
      <c r="P669" s="64">
        <v>12000</v>
      </c>
      <c r="Q669" s="66"/>
      <c r="R669" s="66"/>
      <c r="S669" s="214"/>
      <c r="T669" s="219">
        <f t="shared" si="21"/>
        <v>12000</v>
      </c>
    </row>
    <row r="670" spans="1:20" ht="33.75">
      <c r="A670" s="17" t="s">
        <v>315</v>
      </c>
      <c r="B670" s="73">
        <v>1</v>
      </c>
      <c r="C670" s="67"/>
      <c r="D670" s="212">
        <v>12</v>
      </c>
      <c r="E670" s="218">
        <f t="shared" si="20"/>
        <v>192000</v>
      </c>
      <c r="F670" s="60" t="s">
        <v>166</v>
      </c>
      <c r="G670" s="66"/>
      <c r="H670" s="66"/>
      <c r="I670" s="66"/>
      <c r="J670" s="66"/>
      <c r="K670" s="66"/>
      <c r="L670" s="66"/>
      <c r="M670" s="66"/>
      <c r="N670" s="66"/>
      <c r="O670" s="66"/>
      <c r="P670" s="64">
        <v>16000</v>
      </c>
      <c r="Q670" s="66"/>
      <c r="R670" s="66"/>
      <c r="S670" s="214"/>
      <c r="T670" s="219">
        <f t="shared" si="21"/>
        <v>16000</v>
      </c>
    </row>
    <row r="671" spans="1:20" ht="33.75">
      <c r="A671" s="17" t="s">
        <v>328</v>
      </c>
      <c r="B671" s="73">
        <v>1</v>
      </c>
      <c r="C671" s="67"/>
      <c r="D671" s="212">
        <v>12</v>
      </c>
      <c r="E671" s="218">
        <f t="shared" si="20"/>
        <v>72000</v>
      </c>
      <c r="F671" s="60" t="s">
        <v>166</v>
      </c>
      <c r="G671" s="66"/>
      <c r="H671" s="66"/>
      <c r="I671" s="66"/>
      <c r="J671" s="66"/>
      <c r="K671" s="66"/>
      <c r="L671" s="66"/>
      <c r="M671" s="66"/>
      <c r="N671" s="66"/>
      <c r="O671" s="66"/>
      <c r="P671" s="64">
        <v>6000</v>
      </c>
      <c r="Q671" s="66"/>
      <c r="R671" s="66"/>
      <c r="S671" s="214"/>
      <c r="T671" s="219">
        <f t="shared" si="21"/>
        <v>6000</v>
      </c>
    </row>
    <row r="672" spans="1:20" ht="45">
      <c r="A672" s="17" t="s">
        <v>250</v>
      </c>
      <c r="B672" s="73">
        <v>1</v>
      </c>
      <c r="C672" s="67"/>
      <c r="D672" s="212">
        <v>12</v>
      </c>
      <c r="E672" s="218">
        <f t="shared" si="20"/>
        <v>78000</v>
      </c>
      <c r="F672" s="60" t="s">
        <v>166</v>
      </c>
      <c r="G672" s="66"/>
      <c r="H672" s="66"/>
      <c r="I672" s="66"/>
      <c r="J672" s="66"/>
      <c r="K672" s="66"/>
      <c r="L672" s="66"/>
      <c r="M672" s="66"/>
      <c r="N672" s="66"/>
      <c r="O672" s="66"/>
      <c r="P672" s="64">
        <v>6500</v>
      </c>
      <c r="Q672" s="66"/>
      <c r="R672" s="66"/>
      <c r="S672" s="214"/>
      <c r="T672" s="219">
        <f t="shared" si="21"/>
        <v>6500</v>
      </c>
    </row>
    <row r="673" spans="1:20" ht="33.75">
      <c r="A673" s="17" t="s">
        <v>255</v>
      </c>
      <c r="B673" s="73">
        <v>1</v>
      </c>
      <c r="C673" s="67"/>
      <c r="D673" s="212">
        <v>12</v>
      </c>
      <c r="E673" s="218">
        <f t="shared" si="20"/>
        <v>36000</v>
      </c>
      <c r="F673" s="60" t="s">
        <v>166</v>
      </c>
      <c r="G673" s="66"/>
      <c r="H673" s="66"/>
      <c r="I673" s="66"/>
      <c r="J673" s="66"/>
      <c r="K673" s="66"/>
      <c r="L673" s="66"/>
      <c r="M673" s="66"/>
      <c r="N673" s="66"/>
      <c r="O673" s="66"/>
      <c r="P673" s="64">
        <v>3000</v>
      </c>
      <c r="Q673" s="66"/>
      <c r="R673" s="66"/>
      <c r="S673" s="214"/>
      <c r="T673" s="219">
        <f t="shared" si="21"/>
        <v>3000</v>
      </c>
    </row>
    <row r="674" spans="1:20" ht="33.75">
      <c r="A674" s="17" t="s">
        <v>301</v>
      </c>
      <c r="B674" s="73">
        <v>1</v>
      </c>
      <c r="C674" s="67"/>
      <c r="D674" s="212">
        <v>12</v>
      </c>
      <c r="E674" s="218">
        <f t="shared" si="20"/>
        <v>72000</v>
      </c>
      <c r="F674" s="60" t="s">
        <v>166</v>
      </c>
      <c r="G674" s="66"/>
      <c r="H674" s="66"/>
      <c r="I674" s="66"/>
      <c r="J674" s="66"/>
      <c r="K674" s="66"/>
      <c r="L674" s="66"/>
      <c r="M674" s="66"/>
      <c r="N674" s="66"/>
      <c r="O674" s="66"/>
      <c r="P674" s="64">
        <v>6000</v>
      </c>
      <c r="Q674" s="66"/>
      <c r="R674" s="66"/>
      <c r="S674" s="214"/>
      <c r="T674" s="219">
        <f t="shared" si="21"/>
        <v>6000</v>
      </c>
    </row>
    <row r="675" spans="1:20" ht="33.75">
      <c r="A675" s="17" t="s">
        <v>329</v>
      </c>
      <c r="B675" s="73">
        <v>1</v>
      </c>
      <c r="C675" s="67"/>
      <c r="D675" s="212">
        <v>12</v>
      </c>
      <c r="E675" s="218">
        <f t="shared" si="20"/>
        <v>216000</v>
      </c>
      <c r="F675" s="60" t="s">
        <v>166</v>
      </c>
      <c r="G675" s="66"/>
      <c r="H675" s="66"/>
      <c r="I675" s="66"/>
      <c r="J675" s="66"/>
      <c r="K675" s="66"/>
      <c r="L675" s="66"/>
      <c r="M675" s="66"/>
      <c r="N675" s="66"/>
      <c r="O675" s="66"/>
      <c r="P675" s="64">
        <v>18000</v>
      </c>
      <c r="Q675" s="66"/>
      <c r="R675" s="66"/>
      <c r="S675" s="214"/>
      <c r="T675" s="219">
        <f t="shared" si="21"/>
        <v>18000</v>
      </c>
    </row>
    <row r="676" spans="1:20" ht="22.5">
      <c r="A676" s="17" t="s">
        <v>330</v>
      </c>
      <c r="B676" s="73">
        <v>1</v>
      </c>
      <c r="C676" s="67"/>
      <c r="D676" s="212">
        <v>12</v>
      </c>
      <c r="E676" s="218">
        <f t="shared" si="20"/>
        <v>120000</v>
      </c>
      <c r="F676" s="60" t="s">
        <v>166</v>
      </c>
      <c r="G676" s="66"/>
      <c r="H676" s="66"/>
      <c r="I676" s="66"/>
      <c r="J676" s="66"/>
      <c r="K676" s="66"/>
      <c r="L676" s="66"/>
      <c r="M676" s="66"/>
      <c r="N676" s="66"/>
      <c r="O676" s="66"/>
      <c r="P676" s="64">
        <v>10000</v>
      </c>
      <c r="Q676" s="66"/>
      <c r="R676" s="66"/>
      <c r="S676" s="214"/>
      <c r="T676" s="219">
        <f t="shared" si="21"/>
        <v>10000</v>
      </c>
    </row>
    <row r="677" spans="1:20" ht="45">
      <c r="A677" s="17" t="s">
        <v>331</v>
      </c>
      <c r="B677" s="73">
        <v>1</v>
      </c>
      <c r="C677" s="67"/>
      <c r="D677" s="212">
        <v>12</v>
      </c>
      <c r="E677" s="218">
        <f t="shared" si="20"/>
        <v>180000</v>
      </c>
      <c r="F677" s="60" t="s">
        <v>166</v>
      </c>
      <c r="G677" s="66"/>
      <c r="H677" s="66"/>
      <c r="I677" s="66"/>
      <c r="J677" s="66"/>
      <c r="K677" s="66"/>
      <c r="L677" s="66"/>
      <c r="M677" s="66"/>
      <c r="N677" s="66"/>
      <c r="O677" s="66"/>
      <c r="P677" s="64">
        <v>15000</v>
      </c>
      <c r="Q677" s="66"/>
      <c r="R677" s="66"/>
      <c r="S677" s="214"/>
      <c r="T677" s="219">
        <f t="shared" si="21"/>
        <v>15000</v>
      </c>
    </row>
    <row r="678" spans="1:20" ht="33.75">
      <c r="A678" s="17" t="s">
        <v>301</v>
      </c>
      <c r="B678" s="73">
        <v>1</v>
      </c>
      <c r="C678" s="67"/>
      <c r="D678" s="212">
        <v>12</v>
      </c>
      <c r="E678" s="218">
        <f t="shared" si="20"/>
        <v>90000</v>
      </c>
      <c r="F678" s="60" t="s">
        <v>166</v>
      </c>
      <c r="G678" s="66"/>
      <c r="H678" s="66"/>
      <c r="I678" s="66"/>
      <c r="J678" s="66"/>
      <c r="K678" s="66"/>
      <c r="L678" s="66"/>
      <c r="M678" s="66"/>
      <c r="N678" s="66"/>
      <c r="O678" s="66"/>
      <c r="P678" s="64">
        <v>7500</v>
      </c>
      <c r="Q678" s="66"/>
      <c r="R678" s="66"/>
      <c r="S678" s="214"/>
      <c r="T678" s="219">
        <f t="shared" si="21"/>
        <v>7500</v>
      </c>
    </row>
    <row r="679" spans="1:20" ht="22.5">
      <c r="A679" s="17" t="s">
        <v>207</v>
      </c>
      <c r="B679" s="73">
        <v>1</v>
      </c>
      <c r="C679" s="67"/>
      <c r="D679" s="212">
        <v>12</v>
      </c>
      <c r="E679" s="218">
        <f t="shared" si="20"/>
        <v>48000</v>
      </c>
      <c r="F679" s="60" t="s">
        <v>166</v>
      </c>
      <c r="G679" s="66"/>
      <c r="H679" s="66"/>
      <c r="I679" s="66"/>
      <c r="J679" s="66"/>
      <c r="K679" s="66"/>
      <c r="L679" s="66"/>
      <c r="M679" s="66"/>
      <c r="N679" s="66"/>
      <c r="O679" s="66"/>
      <c r="P679" s="64">
        <v>4000</v>
      </c>
      <c r="Q679" s="66"/>
      <c r="R679" s="66"/>
      <c r="S679" s="214"/>
      <c r="T679" s="219">
        <f t="shared" si="21"/>
        <v>4000</v>
      </c>
    </row>
    <row r="680" spans="1:20" ht="45">
      <c r="A680" s="17" t="s">
        <v>332</v>
      </c>
      <c r="B680" s="73">
        <v>1</v>
      </c>
      <c r="C680" s="67"/>
      <c r="D680" s="212">
        <v>12</v>
      </c>
      <c r="E680" s="218">
        <f t="shared" si="20"/>
        <v>96000</v>
      </c>
      <c r="F680" s="60" t="s">
        <v>166</v>
      </c>
      <c r="G680" s="66"/>
      <c r="H680" s="66"/>
      <c r="I680" s="66"/>
      <c r="J680" s="66"/>
      <c r="K680" s="66"/>
      <c r="L680" s="66"/>
      <c r="M680" s="66"/>
      <c r="N680" s="66"/>
      <c r="O680" s="66"/>
      <c r="P680" s="64">
        <v>8000</v>
      </c>
      <c r="Q680" s="66"/>
      <c r="R680" s="66"/>
      <c r="S680" s="214"/>
      <c r="T680" s="219">
        <f t="shared" si="21"/>
        <v>8000</v>
      </c>
    </row>
    <row r="681" spans="1:20" ht="33.75">
      <c r="A681" s="17" t="s">
        <v>212</v>
      </c>
      <c r="B681" s="73">
        <v>1</v>
      </c>
      <c r="C681" s="67"/>
      <c r="D681" s="212">
        <v>12</v>
      </c>
      <c r="E681" s="218">
        <f t="shared" si="20"/>
        <v>48000</v>
      </c>
      <c r="F681" s="60" t="s">
        <v>166</v>
      </c>
      <c r="G681" s="66"/>
      <c r="H681" s="66"/>
      <c r="I681" s="66"/>
      <c r="J681" s="66"/>
      <c r="K681" s="66"/>
      <c r="L681" s="66"/>
      <c r="M681" s="66"/>
      <c r="N681" s="66"/>
      <c r="O681" s="66"/>
      <c r="P681" s="64">
        <v>4000</v>
      </c>
      <c r="Q681" s="66"/>
      <c r="R681" s="66"/>
      <c r="S681" s="214"/>
      <c r="T681" s="219">
        <f t="shared" si="21"/>
        <v>4000</v>
      </c>
    </row>
    <row r="682" spans="1:20" ht="33.75">
      <c r="A682" s="17" t="s">
        <v>333</v>
      </c>
      <c r="B682" s="73">
        <v>1</v>
      </c>
      <c r="C682" s="67"/>
      <c r="D682" s="212">
        <v>12</v>
      </c>
      <c r="E682" s="218">
        <f t="shared" si="20"/>
        <v>48000</v>
      </c>
      <c r="F682" s="60" t="s">
        <v>166</v>
      </c>
      <c r="G682" s="66"/>
      <c r="H682" s="66"/>
      <c r="I682" s="66"/>
      <c r="J682" s="66"/>
      <c r="K682" s="66"/>
      <c r="L682" s="66"/>
      <c r="M682" s="66"/>
      <c r="N682" s="66"/>
      <c r="O682" s="66"/>
      <c r="P682" s="64">
        <v>4000</v>
      </c>
      <c r="Q682" s="66"/>
      <c r="R682" s="66"/>
      <c r="S682" s="214"/>
      <c r="T682" s="219">
        <f t="shared" si="21"/>
        <v>4000</v>
      </c>
    </row>
    <row r="683" spans="1:20" ht="45">
      <c r="A683" s="17" t="s">
        <v>334</v>
      </c>
      <c r="B683" s="73">
        <v>1</v>
      </c>
      <c r="C683" s="67"/>
      <c r="D683" s="212">
        <v>12</v>
      </c>
      <c r="E683" s="218">
        <f t="shared" si="20"/>
        <v>60000</v>
      </c>
      <c r="F683" s="60" t="s">
        <v>166</v>
      </c>
      <c r="G683" s="66"/>
      <c r="H683" s="66"/>
      <c r="I683" s="66"/>
      <c r="J683" s="66"/>
      <c r="K683" s="66"/>
      <c r="L683" s="66"/>
      <c r="M683" s="66"/>
      <c r="N683" s="66"/>
      <c r="O683" s="66"/>
      <c r="P683" s="64">
        <v>5000</v>
      </c>
      <c r="Q683" s="66"/>
      <c r="R683" s="66"/>
      <c r="S683" s="214"/>
      <c r="T683" s="219">
        <f t="shared" si="21"/>
        <v>5000</v>
      </c>
    </row>
    <row r="684" spans="1:20" ht="33.75">
      <c r="A684" s="17" t="s">
        <v>335</v>
      </c>
      <c r="B684" s="73">
        <v>1</v>
      </c>
      <c r="C684" s="67"/>
      <c r="D684" s="212">
        <v>12</v>
      </c>
      <c r="E684" s="218">
        <f t="shared" si="20"/>
        <v>66000</v>
      </c>
      <c r="F684" s="60" t="s">
        <v>166</v>
      </c>
      <c r="G684" s="66"/>
      <c r="H684" s="66"/>
      <c r="I684" s="66"/>
      <c r="J684" s="66"/>
      <c r="K684" s="66"/>
      <c r="L684" s="66"/>
      <c r="M684" s="66"/>
      <c r="N684" s="66"/>
      <c r="O684" s="66"/>
      <c r="P684" s="64">
        <v>5500</v>
      </c>
      <c r="Q684" s="66"/>
      <c r="R684" s="66"/>
      <c r="S684" s="214"/>
      <c r="T684" s="219">
        <f t="shared" si="21"/>
        <v>5500</v>
      </c>
    </row>
    <row r="685" spans="1:20" ht="22.5">
      <c r="A685" s="17" t="s">
        <v>216</v>
      </c>
      <c r="B685" s="73">
        <v>1</v>
      </c>
      <c r="C685" s="67"/>
      <c r="D685" s="212">
        <v>12</v>
      </c>
      <c r="E685" s="218">
        <f t="shared" si="20"/>
        <v>42000</v>
      </c>
      <c r="F685" s="60" t="s">
        <v>166</v>
      </c>
      <c r="G685" s="66"/>
      <c r="H685" s="66"/>
      <c r="I685" s="66"/>
      <c r="J685" s="66"/>
      <c r="K685" s="66"/>
      <c r="L685" s="66"/>
      <c r="M685" s="66"/>
      <c r="N685" s="66"/>
      <c r="O685" s="66"/>
      <c r="P685" s="64">
        <v>3500</v>
      </c>
      <c r="Q685" s="66"/>
      <c r="R685" s="66"/>
      <c r="S685" s="214"/>
      <c r="T685" s="219">
        <f t="shared" si="21"/>
        <v>3500</v>
      </c>
    </row>
    <row r="686" spans="1:20" ht="22.5">
      <c r="A686" s="17" t="s">
        <v>216</v>
      </c>
      <c r="B686" s="73">
        <v>1</v>
      </c>
      <c r="C686" s="67"/>
      <c r="D686" s="212">
        <v>12</v>
      </c>
      <c r="E686" s="218">
        <f t="shared" si="20"/>
        <v>42000</v>
      </c>
      <c r="F686" s="60" t="s">
        <v>166</v>
      </c>
      <c r="G686" s="66"/>
      <c r="H686" s="66"/>
      <c r="I686" s="66"/>
      <c r="J686" s="66"/>
      <c r="K686" s="66"/>
      <c r="L686" s="66"/>
      <c r="M686" s="66"/>
      <c r="N686" s="66"/>
      <c r="O686" s="66"/>
      <c r="P686" s="64">
        <v>3500</v>
      </c>
      <c r="Q686" s="66"/>
      <c r="R686" s="66"/>
      <c r="S686" s="214"/>
      <c r="T686" s="219">
        <f t="shared" si="21"/>
        <v>3500</v>
      </c>
    </row>
    <row r="687" spans="1:20" ht="22.5">
      <c r="A687" s="17" t="s">
        <v>216</v>
      </c>
      <c r="B687" s="73">
        <v>1</v>
      </c>
      <c r="C687" s="67"/>
      <c r="D687" s="212">
        <v>12</v>
      </c>
      <c r="E687" s="218">
        <f t="shared" si="20"/>
        <v>42000</v>
      </c>
      <c r="F687" s="60" t="s">
        <v>166</v>
      </c>
      <c r="G687" s="66"/>
      <c r="H687" s="66"/>
      <c r="I687" s="66"/>
      <c r="J687" s="66"/>
      <c r="K687" s="66"/>
      <c r="L687" s="66"/>
      <c r="M687" s="66"/>
      <c r="N687" s="66"/>
      <c r="O687" s="66"/>
      <c r="P687" s="64">
        <v>3500</v>
      </c>
      <c r="Q687" s="66"/>
      <c r="R687" s="66"/>
      <c r="S687" s="214"/>
      <c r="T687" s="219">
        <f t="shared" si="21"/>
        <v>3500</v>
      </c>
    </row>
    <row r="688" spans="1:20" ht="22.5">
      <c r="A688" s="17" t="s">
        <v>216</v>
      </c>
      <c r="B688" s="73">
        <v>1</v>
      </c>
      <c r="C688" s="67"/>
      <c r="D688" s="212">
        <v>12</v>
      </c>
      <c r="E688" s="218">
        <f t="shared" si="20"/>
        <v>42000</v>
      </c>
      <c r="F688" s="60" t="s">
        <v>166</v>
      </c>
      <c r="G688" s="66"/>
      <c r="H688" s="66"/>
      <c r="I688" s="66"/>
      <c r="J688" s="66"/>
      <c r="K688" s="66"/>
      <c r="L688" s="66"/>
      <c r="M688" s="66"/>
      <c r="N688" s="66"/>
      <c r="O688" s="66"/>
      <c r="P688" s="64">
        <v>3500</v>
      </c>
      <c r="Q688" s="66"/>
      <c r="R688" s="66"/>
      <c r="S688" s="214"/>
      <c r="T688" s="219">
        <f t="shared" si="21"/>
        <v>3500</v>
      </c>
    </row>
    <row r="689" spans="1:20" ht="22.5">
      <c r="A689" s="17" t="s">
        <v>216</v>
      </c>
      <c r="B689" s="73">
        <v>1</v>
      </c>
      <c r="C689" s="67"/>
      <c r="D689" s="212">
        <v>12</v>
      </c>
      <c r="E689" s="218">
        <f t="shared" si="20"/>
        <v>42000</v>
      </c>
      <c r="F689" s="60" t="s">
        <v>166</v>
      </c>
      <c r="G689" s="66"/>
      <c r="H689" s="66"/>
      <c r="I689" s="66"/>
      <c r="J689" s="66"/>
      <c r="K689" s="66"/>
      <c r="L689" s="66"/>
      <c r="M689" s="66"/>
      <c r="N689" s="66"/>
      <c r="O689" s="66"/>
      <c r="P689" s="64">
        <v>3500</v>
      </c>
      <c r="Q689" s="66"/>
      <c r="R689" s="66"/>
      <c r="S689" s="214"/>
      <c r="T689" s="219">
        <f t="shared" si="21"/>
        <v>3500</v>
      </c>
    </row>
    <row r="690" spans="1:20" ht="22.5">
      <c r="A690" s="17" t="s">
        <v>216</v>
      </c>
      <c r="B690" s="73">
        <v>1</v>
      </c>
      <c r="C690" s="67"/>
      <c r="D690" s="212">
        <v>12</v>
      </c>
      <c r="E690" s="218">
        <f t="shared" si="20"/>
        <v>42000</v>
      </c>
      <c r="F690" s="60" t="s">
        <v>166</v>
      </c>
      <c r="G690" s="66"/>
      <c r="H690" s="66"/>
      <c r="I690" s="66"/>
      <c r="J690" s="66"/>
      <c r="K690" s="66"/>
      <c r="L690" s="66"/>
      <c r="M690" s="66"/>
      <c r="N690" s="66"/>
      <c r="O690" s="66"/>
      <c r="P690" s="64">
        <v>3500</v>
      </c>
      <c r="Q690" s="66"/>
      <c r="R690" s="66"/>
      <c r="S690" s="214"/>
      <c r="T690" s="219">
        <f t="shared" si="21"/>
        <v>3500</v>
      </c>
    </row>
    <row r="691" spans="1:20" ht="33.75">
      <c r="A691" s="17" t="s">
        <v>336</v>
      </c>
      <c r="B691" s="73">
        <v>1</v>
      </c>
      <c r="C691" s="67"/>
      <c r="D691" s="212">
        <v>12</v>
      </c>
      <c r="E691" s="218">
        <f t="shared" si="20"/>
        <v>60000</v>
      </c>
      <c r="F691" s="60" t="s">
        <v>166</v>
      </c>
      <c r="G691" s="66"/>
      <c r="H691" s="66"/>
      <c r="I691" s="66"/>
      <c r="J691" s="66"/>
      <c r="K691" s="66"/>
      <c r="L691" s="66"/>
      <c r="M691" s="66"/>
      <c r="N691" s="66"/>
      <c r="O691" s="66"/>
      <c r="P691" s="64">
        <v>5000</v>
      </c>
      <c r="Q691" s="66"/>
      <c r="R691" s="66"/>
      <c r="S691" s="214"/>
      <c r="T691" s="219">
        <f t="shared" si="21"/>
        <v>5000</v>
      </c>
    </row>
    <row r="692" spans="1:20" ht="22.5">
      <c r="A692" s="17" t="s">
        <v>216</v>
      </c>
      <c r="B692" s="73">
        <v>1</v>
      </c>
      <c r="C692" s="67"/>
      <c r="D692" s="212">
        <v>12</v>
      </c>
      <c r="E692" s="218">
        <f t="shared" si="20"/>
        <v>42000</v>
      </c>
      <c r="F692" s="60" t="s">
        <v>166</v>
      </c>
      <c r="G692" s="66"/>
      <c r="H692" s="66"/>
      <c r="I692" s="66"/>
      <c r="J692" s="66"/>
      <c r="K692" s="66"/>
      <c r="L692" s="66"/>
      <c r="M692" s="66"/>
      <c r="N692" s="66"/>
      <c r="O692" s="66"/>
      <c r="P692" s="64">
        <v>3500</v>
      </c>
      <c r="Q692" s="66"/>
      <c r="R692" s="66"/>
      <c r="S692" s="214"/>
      <c r="T692" s="219">
        <f t="shared" si="21"/>
        <v>3500</v>
      </c>
    </row>
    <row r="693" spans="1:20" ht="22.5">
      <c r="A693" s="17" t="s">
        <v>216</v>
      </c>
      <c r="B693" s="73">
        <v>1</v>
      </c>
      <c r="C693" s="67"/>
      <c r="D693" s="212">
        <v>12</v>
      </c>
      <c r="E693" s="218">
        <f t="shared" si="20"/>
        <v>42000</v>
      </c>
      <c r="F693" s="60" t="s">
        <v>166</v>
      </c>
      <c r="G693" s="66"/>
      <c r="H693" s="66"/>
      <c r="I693" s="66"/>
      <c r="J693" s="66"/>
      <c r="K693" s="66"/>
      <c r="L693" s="66"/>
      <c r="M693" s="66"/>
      <c r="N693" s="66"/>
      <c r="O693" s="66"/>
      <c r="P693" s="64">
        <v>3500</v>
      </c>
      <c r="Q693" s="66"/>
      <c r="R693" s="66"/>
      <c r="S693" s="214"/>
      <c r="T693" s="219">
        <f t="shared" si="21"/>
        <v>3500</v>
      </c>
    </row>
    <row r="694" spans="1:20" ht="33.75">
      <c r="A694" s="17" t="s">
        <v>283</v>
      </c>
      <c r="B694" s="73">
        <v>1</v>
      </c>
      <c r="C694" s="67"/>
      <c r="D694" s="212">
        <v>12</v>
      </c>
      <c r="E694" s="218">
        <f t="shared" si="20"/>
        <v>48000</v>
      </c>
      <c r="F694" s="60" t="s">
        <v>166</v>
      </c>
      <c r="G694" s="66"/>
      <c r="H694" s="66"/>
      <c r="I694" s="66"/>
      <c r="J694" s="66"/>
      <c r="K694" s="66"/>
      <c r="L694" s="66"/>
      <c r="M694" s="66"/>
      <c r="N694" s="66"/>
      <c r="O694" s="66"/>
      <c r="P694" s="64">
        <v>4000</v>
      </c>
      <c r="Q694" s="66"/>
      <c r="R694" s="66"/>
      <c r="S694" s="214"/>
      <c r="T694" s="219">
        <f t="shared" si="21"/>
        <v>4000</v>
      </c>
    </row>
    <row r="695" spans="1:20" ht="33.75">
      <c r="A695" s="17" t="s">
        <v>315</v>
      </c>
      <c r="B695" s="73">
        <v>1</v>
      </c>
      <c r="C695" s="67"/>
      <c r="D695" s="212">
        <v>12</v>
      </c>
      <c r="E695" s="218">
        <f t="shared" si="20"/>
        <v>204000</v>
      </c>
      <c r="F695" s="60" t="s">
        <v>166</v>
      </c>
      <c r="G695" s="66"/>
      <c r="H695" s="66"/>
      <c r="I695" s="66"/>
      <c r="J695" s="66"/>
      <c r="K695" s="66"/>
      <c r="L695" s="66"/>
      <c r="M695" s="66"/>
      <c r="N695" s="66"/>
      <c r="O695" s="66"/>
      <c r="P695" s="64">
        <v>17000</v>
      </c>
      <c r="Q695" s="66"/>
      <c r="R695" s="66"/>
      <c r="S695" s="214"/>
      <c r="T695" s="219">
        <f t="shared" si="21"/>
        <v>17000</v>
      </c>
    </row>
    <row r="696" spans="1:20" ht="22.5">
      <c r="A696" s="17" t="s">
        <v>207</v>
      </c>
      <c r="B696" s="73">
        <v>1</v>
      </c>
      <c r="C696" s="67"/>
      <c r="D696" s="212">
        <v>12</v>
      </c>
      <c r="E696" s="218">
        <f t="shared" si="20"/>
        <v>48000</v>
      </c>
      <c r="F696" s="60" t="s">
        <v>166</v>
      </c>
      <c r="G696" s="66"/>
      <c r="H696" s="66"/>
      <c r="I696" s="66"/>
      <c r="J696" s="66"/>
      <c r="K696" s="66"/>
      <c r="L696" s="66"/>
      <c r="M696" s="66"/>
      <c r="N696" s="66"/>
      <c r="O696" s="66"/>
      <c r="P696" s="64">
        <v>4000</v>
      </c>
      <c r="Q696" s="66"/>
      <c r="R696" s="66"/>
      <c r="S696" s="214"/>
      <c r="T696" s="219">
        <f t="shared" si="21"/>
        <v>4000</v>
      </c>
    </row>
    <row r="697" spans="1:20" ht="33.75">
      <c r="A697" s="17" t="s">
        <v>279</v>
      </c>
      <c r="B697" s="73">
        <v>1</v>
      </c>
      <c r="C697" s="67"/>
      <c r="D697" s="212">
        <v>12</v>
      </c>
      <c r="E697" s="218">
        <f t="shared" si="20"/>
        <v>120000</v>
      </c>
      <c r="F697" s="60" t="s">
        <v>166</v>
      </c>
      <c r="G697" s="66"/>
      <c r="H697" s="66"/>
      <c r="I697" s="66"/>
      <c r="J697" s="66"/>
      <c r="K697" s="66"/>
      <c r="L697" s="66"/>
      <c r="M697" s="66"/>
      <c r="N697" s="66"/>
      <c r="O697" s="66"/>
      <c r="P697" s="64">
        <v>10000</v>
      </c>
      <c r="Q697" s="66"/>
      <c r="R697" s="66"/>
      <c r="S697" s="214"/>
      <c r="T697" s="219">
        <f t="shared" si="21"/>
        <v>10000</v>
      </c>
    </row>
    <row r="698" spans="1:20" ht="22.5">
      <c r="A698" s="17" t="s">
        <v>208</v>
      </c>
      <c r="B698" s="73">
        <v>1</v>
      </c>
      <c r="C698" s="67"/>
      <c r="D698" s="212">
        <v>12</v>
      </c>
      <c r="E698" s="218">
        <f t="shared" si="20"/>
        <v>33600</v>
      </c>
      <c r="F698" s="60" t="s">
        <v>166</v>
      </c>
      <c r="G698" s="66"/>
      <c r="H698" s="66"/>
      <c r="I698" s="66"/>
      <c r="J698" s="66"/>
      <c r="K698" s="66"/>
      <c r="L698" s="66"/>
      <c r="M698" s="66"/>
      <c r="N698" s="66"/>
      <c r="O698" s="66"/>
      <c r="P698" s="64">
        <v>2800</v>
      </c>
      <c r="Q698" s="66"/>
      <c r="R698" s="66"/>
      <c r="S698" s="214"/>
      <c r="T698" s="219">
        <f t="shared" si="21"/>
        <v>2800</v>
      </c>
    </row>
    <row r="699" spans="1:20" ht="22.5">
      <c r="A699" s="17" t="s">
        <v>213</v>
      </c>
      <c r="B699" s="73">
        <v>1</v>
      </c>
      <c r="C699" s="67"/>
      <c r="D699" s="212">
        <v>12</v>
      </c>
      <c r="E699" s="218">
        <f t="shared" si="20"/>
        <v>48000</v>
      </c>
      <c r="F699" s="60" t="s">
        <v>166</v>
      </c>
      <c r="G699" s="66"/>
      <c r="H699" s="66"/>
      <c r="I699" s="66"/>
      <c r="J699" s="66"/>
      <c r="K699" s="66"/>
      <c r="L699" s="66"/>
      <c r="M699" s="66"/>
      <c r="N699" s="66"/>
      <c r="O699" s="66"/>
      <c r="P699" s="64">
        <v>4000</v>
      </c>
      <c r="Q699" s="66"/>
      <c r="R699" s="66"/>
      <c r="S699" s="214"/>
      <c r="T699" s="219">
        <f t="shared" si="21"/>
        <v>4000</v>
      </c>
    </row>
    <row r="700" spans="1:20" ht="22.5">
      <c r="A700" s="17" t="s">
        <v>208</v>
      </c>
      <c r="B700" s="73">
        <v>1</v>
      </c>
      <c r="C700" s="67"/>
      <c r="D700" s="212">
        <v>12</v>
      </c>
      <c r="E700" s="218">
        <f t="shared" si="20"/>
        <v>33600</v>
      </c>
      <c r="F700" s="60" t="s">
        <v>166</v>
      </c>
      <c r="G700" s="66"/>
      <c r="H700" s="66"/>
      <c r="I700" s="66"/>
      <c r="J700" s="66"/>
      <c r="K700" s="66"/>
      <c r="L700" s="66"/>
      <c r="M700" s="66"/>
      <c r="N700" s="66"/>
      <c r="O700" s="66"/>
      <c r="P700" s="64">
        <v>2800</v>
      </c>
      <c r="Q700" s="66"/>
      <c r="R700" s="66"/>
      <c r="S700" s="214"/>
      <c r="T700" s="219">
        <f t="shared" si="21"/>
        <v>2800</v>
      </c>
    </row>
    <row r="701" spans="1:20" ht="22.5">
      <c r="A701" s="17" t="s">
        <v>208</v>
      </c>
      <c r="B701" s="73">
        <v>1</v>
      </c>
      <c r="C701" s="67"/>
      <c r="D701" s="212">
        <v>12</v>
      </c>
      <c r="E701" s="218">
        <f t="shared" si="20"/>
        <v>33600</v>
      </c>
      <c r="F701" s="60" t="s">
        <v>166</v>
      </c>
      <c r="G701" s="66"/>
      <c r="H701" s="66"/>
      <c r="I701" s="66"/>
      <c r="J701" s="66"/>
      <c r="K701" s="66"/>
      <c r="L701" s="66"/>
      <c r="M701" s="66"/>
      <c r="N701" s="66"/>
      <c r="O701" s="66"/>
      <c r="P701" s="64">
        <v>2800</v>
      </c>
      <c r="Q701" s="66"/>
      <c r="R701" s="66"/>
      <c r="S701" s="214"/>
      <c r="T701" s="219">
        <f t="shared" si="21"/>
        <v>2800</v>
      </c>
    </row>
    <row r="702" spans="1:20" ht="33.75">
      <c r="A702" s="17" t="s">
        <v>277</v>
      </c>
      <c r="B702" s="73">
        <v>1</v>
      </c>
      <c r="C702" s="67"/>
      <c r="D702" s="212">
        <v>12</v>
      </c>
      <c r="E702" s="218">
        <f t="shared" si="20"/>
        <v>48000</v>
      </c>
      <c r="F702" s="60" t="s">
        <v>166</v>
      </c>
      <c r="G702" s="66"/>
      <c r="H702" s="66"/>
      <c r="I702" s="66"/>
      <c r="J702" s="66"/>
      <c r="K702" s="66"/>
      <c r="L702" s="66"/>
      <c r="M702" s="66"/>
      <c r="N702" s="66"/>
      <c r="O702" s="66"/>
      <c r="P702" s="64">
        <v>4000</v>
      </c>
      <c r="Q702" s="66"/>
      <c r="R702" s="66"/>
      <c r="S702" s="214"/>
      <c r="T702" s="219">
        <f t="shared" si="21"/>
        <v>4000</v>
      </c>
    </row>
    <row r="703" spans="1:20" ht="33.75">
      <c r="A703" s="17" t="s">
        <v>275</v>
      </c>
      <c r="B703" s="73">
        <v>1</v>
      </c>
      <c r="C703" s="67"/>
      <c r="D703" s="212">
        <v>12</v>
      </c>
      <c r="E703" s="218">
        <f t="shared" si="20"/>
        <v>54000</v>
      </c>
      <c r="F703" s="60" t="s">
        <v>166</v>
      </c>
      <c r="G703" s="66"/>
      <c r="H703" s="66"/>
      <c r="I703" s="66"/>
      <c r="J703" s="66"/>
      <c r="K703" s="66"/>
      <c r="L703" s="66"/>
      <c r="M703" s="66"/>
      <c r="N703" s="66"/>
      <c r="O703" s="66"/>
      <c r="P703" s="64">
        <v>4500</v>
      </c>
      <c r="Q703" s="66"/>
      <c r="R703" s="66"/>
      <c r="S703" s="214"/>
      <c r="T703" s="219">
        <f t="shared" si="21"/>
        <v>4500</v>
      </c>
    </row>
    <row r="704" spans="1:20" ht="22.5">
      <c r="A704" s="17" t="s">
        <v>208</v>
      </c>
      <c r="B704" s="73">
        <v>1</v>
      </c>
      <c r="C704" s="67"/>
      <c r="D704" s="212">
        <v>12</v>
      </c>
      <c r="E704" s="218">
        <f t="shared" si="20"/>
        <v>36000</v>
      </c>
      <c r="F704" s="60" t="s">
        <v>166</v>
      </c>
      <c r="G704" s="66"/>
      <c r="H704" s="66"/>
      <c r="I704" s="66"/>
      <c r="J704" s="66"/>
      <c r="K704" s="66"/>
      <c r="L704" s="66"/>
      <c r="M704" s="66"/>
      <c r="N704" s="66"/>
      <c r="O704" s="66"/>
      <c r="P704" s="64">
        <v>3000</v>
      </c>
      <c r="Q704" s="66"/>
      <c r="R704" s="66"/>
      <c r="S704" s="214"/>
      <c r="T704" s="219">
        <f t="shared" si="21"/>
        <v>3000</v>
      </c>
    </row>
    <row r="705" spans="1:20" ht="22.5">
      <c r="A705" s="17" t="s">
        <v>216</v>
      </c>
      <c r="B705" s="73">
        <v>1</v>
      </c>
      <c r="C705" s="67"/>
      <c r="D705" s="212">
        <v>12</v>
      </c>
      <c r="E705" s="218">
        <f t="shared" si="20"/>
        <v>42000</v>
      </c>
      <c r="F705" s="60" t="s">
        <v>166</v>
      </c>
      <c r="G705" s="66"/>
      <c r="H705" s="66"/>
      <c r="I705" s="66"/>
      <c r="J705" s="66"/>
      <c r="K705" s="66"/>
      <c r="L705" s="66"/>
      <c r="M705" s="66"/>
      <c r="N705" s="66"/>
      <c r="O705" s="66"/>
      <c r="P705" s="64">
        <v>3500</v>
      </c>
      <c r="Q705" s="66"/>
      <c r="R705" s="66"/>
      <c r="S705" s="214"/>
      <c r="T705" s="219">
        <f t="shared" si="21"/>
        <v>3500</v>
      </c>
    </row>
    <row r="706" spans="1:20" ht="22.5">
      <c r="A706" s="17" t="s">
        <v>216</v>
      </c>
      <c r="B706" s="73">
        <v>1</v>
      </c>
      <c r="C706" s="67"/>
      <c r="D706" s="212">
        <v>12</v>
      </c>
      <c r="E706" s="218">
        <f t="shared" si="20"/>
        <v>42000</v>
      </c>
      <c r="F706" s="60" t="s">
        <v>166</v>
      </c>
      <c r="G706" s="66"/>
      <c r="H706" s="66"/>
      <c r="I706" s="66"/>
      <c r="J706" s="66"/>
      <c r="K706" s="66"/>
      <c r="L706" s="66"/>
      <c r="M706" s="66"/>
      <c r="N706" s="66"/>
      <c r="O706" s="66"/>
      <c r="P706" s="64">
        <v>3500</v>
      </c>
      <c r="Q706" s="66"/>
      <c r="R706" s="66"/>
      <c r="S706" s="214"/>
      <c r="T706" s="219">
        <f t="shared" si="21"/>
        <v>3500</v>
      </c>
    </row>
    <row r="707" spans="1:20" ht="22.5">
      <c r="A707" s="17" t="s">
        <v>216</v>
      </c>
      <c r="B707" s="73">
        <v>1</v>
      </c>
      <c r="C707" s="67"/>
      <c r="D707" s="212">
        <v>12</v>
      </c>
      <c r="E707" s="218">
        <f t="shared" si="20"/>
        <v>42000</v>
      </c>
      <c r="F707" s="60" t="s">
        <v>166</v>
      </c>
      <c r="G707" s="66"/>
      <c r="H707" s="66"/>
      <c r="I707" s="66"/>
      <c r="J707" s="66"/>
      <c r="K707" s="66"/>
      <c r="L707" s="66"/>
      <c r="M707" s="66"/>
      <c r="N707" s="66"/>
      <c r="O707" s="66"/>
      <c r="P707" s="64">
        <v>3500</v>
      </c>
      <c r="Q707" s="66"/>
      <c r="R707" s="66"/>
      <c r="S707" s="214"/>
      <c r="T707" s="219">
        <f t="shared" si="21"/>
        <v>3500</v>
      </c>
    </row>
    <row r="708" spans="1:20" ht="22.5">
      <c r="A708" s="17" t="s">
        <v>216</v>
      </c>
      <c r="B708" s="73">
        <v>1</v>
      </c>
      <c r="C708" s="67"/>
      <c r="D708" s="212">
        <v>12</v>
      </c>
      <c r="E708" s="218">
        <f t="shared" si="20"/>
        <v>42000</v>
      </c>
      <c r="F708" s="60" t="s">
        <v>166</v>
      </c>
      <c r="G708" s="66"/>
      <c r="H708" s="66"/>
      <c r="I708" s="66"/>
      <c r="J708" s="66"/>
      <c r="K708" s="66"/>
      <c r="L708" s="66"/>
      <c r="M708" s="66"/>
      <c r="N708" s="66"/>
      <c r="O708" s="66"/>
      <c r="P708" s="64">
        <v>3500</v>
      </c>
      <c r="Q708" s="66"/>
      <c r="R708" s="66"/>
      <c r="S708" s="214"/>
      <c r="T708" s="219">
        <f t="shared" si="21"/>
        <v>3500</v>
      </c>
    </row>
    <row r="709" spans="1:20" ht="33.75">
      <c r="A709" s="17" t="s">
        <v>217</v>
      </c>
      <c r="B709" s="73">
        <v>1</v>
      </c>
      <c r="C709" s="67"/>
      <c r="D709" s="212">
        <v>12</v>
      </c>
      <c r="E709" s="218">
        <f t="shared" si="20"/>
        <v>72000</v>
      </c>
      <c r="F709" s="60" t="s">
        <v>166</v>
      </c>
      <c r="G709" s="66"/>
      <c r="H709" s="66"/>
      <c r="I709" s="66"/>
      <c r="J709" s="66"/>
      <c r="K709" s="66"/>
      <c r="L709" s="66"/>
      <c r="M709" s="66"/>
      <c r="N709" s="66"/>
      <c r="O709" s="66"/>
      <c r="P709" s="64">
        <v>6000</v>
      </c>
      <c r="Q709" s="66"/>
      <c r="R709" s="66"/>
      <c r="S709" s="214"/>
      <c r="T709" s="219">
        <f t="shared" si="21"/>
        <v>6000</v>
      </c>
    </row>
    <row r="710" spans="1:20" ht="33.75">
      <c r="A710" s="17" t="s">
        <v>220</v>
      </c>
      <c r="B710" s="73">
        <v>1</v>
      </c>
      <c r="C710" s="67"/>
      <c r="D710" s="212">
        <v>12</v>
      </c>
      <c r="E710" s="218">
        <f t="shared" si="20"/>
        <v>36000</v>
      </c>
      <c r="F710" s="60" t="s">
        <v>166</v>
      </c>
      <c r="G710" s="66"/>
      <c r="H710" s="66"/>
      <c r="I710" s="66"/>
      <c r="J710" s="66"/>
      <c r="K710" s="66"/>
      <c r="L710" s="66"/>
      <c r="M710" s="66"/>
      <c r="N710" s="66"/>
      <c r="O710" s="66"/>
      <c r="P710" s="64">
        <v>3000</v>
      </c>
      <c r="Q710" s="66"/>
      <c r="R710" s="66"/>
      <c r="S710" s="214"/>
      <c r="T710" s="219">
        <f t="shared" si="21"/>
        <v>3000</v>
      </c>
    </row>
    <row r="711" spans="1:20" ht="33.75">
      <c r="A711" s="17" t="s">
        <v>220</v>
      </c>
      <c r="B711" s="73">
        <v>1</v>
      </c>
      <c r="C711" s="67"/>
      <c r="D711" s="212">
        <v>12</v>
      </c>
      <c r="E711" s="218">
        <f t="shared" ref="E711:E774" si="22">T711*12</f>
        <v>36000</v>
      </c>
      <c r="F711" s="60" t="s">
        <v>166</v>
      </c>
      <c r="G711" s="66"/>
      <c r="H711" s="66"/>
      <c r="I711" s="66"/>
      <c r="J711" s="66"/>
      <c r="K711" s="66"/>
      <c r="L711" s="66"/>
      <c r="M711" s="66"/>
      <c r="N711" s="66"/>
      <c r="O711" s="66"/>
      <c r="P711" s="64">
        <v>3000</v>
      </c>
      <c r="Q711" s="66"/>
      <c r="R711" s="66"/>
      <c r="S711" s="214"/>
      <c r="T711" s="219">
        <f t="shared" si="21"/>
        <v>3000</v>
      </c>
    </row>
    <row r="712" spans="1:20" ht="45">
      <c r="A712" s="17" t="s">
        <v>221</v>
      </c>
      <c r="B712" s="73">
        <v>1</v>
      </c>
      <c r="C712" s="67"/>
      <c r="D712" s="212">
        <v>12</v>
      </c>
      <c r="E712" s="218">
        <f t="shared" si="22"/>
        <v>60000</v>
      </c>
      <c r="F712" s="60" t="s">
        <v>166</v>
      </c>
      <c r="G712" s="66"/>
      <c r="H712" s="66"/>
      <c r="I712" s="66"/>
      <c r="J712" s="66"/>
      <c r="K712" s="66"/>
      <c r="L712" s="66"/>
      <c r="M712" s="66"/>
      <c r="N712" s="66"/>
      <c r="O712" s="66"/>
      <c r="P712" s="64">
        <v>5000</v>
      </c>
      <c r="Q712" s="66"/>
      <c r="R712" s="66"/>
      <c r="S712" s="214"/>
      <c r="T712" s="219">
        <f t="shared" ref="T712:T775" si="23">SUM(G712:S712)</f>
        <v>5000</v>
      </c>
    </row>
    <row r="713" spans="1:20" ht="45">
      <c r="A713" s="17" t="s">
        <v>221</v>
      </c>
      <c r="B713" s="73">
        <v>1</v>
      </c>
      <c r="C713" s="67"/>
      <c r="D713" s="212">
        <v>12</v>
      </c>
      <c r="E713" s="218">
        <f t="shared" si="22"/>
        <v>42000</v>
      </c>
      <c r="F713" s="60" t="s">
        <v>166</v>
      </c>
      <c r="G713" s="66"/>
      <c r="H713" s="66"/>
      <c r="I713" s="66"/>
      <c r="J713" s="66"/>
      <c r="K713" s="66"/>
      <c r="L713" s="66"/>
      <c r="M713" s="66"/>
      <c r="N713" s="66"/>
      <c r="O713" s="66"/>
      <c r="P713" s="64">
        <v>3500</v>
      </c>
      <c r="Q713" s="66"/>
      <c r="R713" s="66"/>
      <c r="S713" s="214"/>
      <c r="T713" s="219">
        <f t="shared" si="23"/>
        <v>3500</v>
      </c>
    </row>
    <row r="714" spans="1:20" ht="33.75">
      <c r="A714" s="17" t="s">
        <v>224</v>
      </c>
      <c r="B714" s="73">
        <v>1</v>
      </c>
      <c r="C714" s="67"/>
      <c r="D714" s="212">
        <v>12</v>
      </c>
      <c r="E714" s="218">
        <f t="shared" si="22"/>
        <v>222000</v>
      </c>
      <c r="F714" s="60" t="s">
        <v>166</v>
      </c>
      <c r="G714" s="66"/>
      <c r="H714" s="66"/>
      <c r="I714" s="66"/>
      <c r="J714" s="66"/>
      <c r="K714" s="66"/>
      <c r="L714" s="66"/>
      <c r="M714" s="66"/>
      <c r="N714" s="66"/>
      <c r="O714" s="66"/>
      <c r="P714" s="64">
        <v>18500</v>
      </c>
      <c r="Q714" s="66"/>
      <c r="R714" s="66"/>
      <c r="S714" s="214"/>
      <c r="T714" s="219">
        <f t="shared" si="23"/>
        <v>18500</v>
      </c>
    </row>
    <row r="715" spans="1:20" ht="33.75">
      <c r="A715" s="17" t="s">
        <v>224</v>
      </c>
      <c r="B715" s="73">
        <v>1</v>
      </c>
      <c r="C715" s="67"/>
      <c r="D715" s="212">
        <v>12</v>
      </c>
      <c r="E715" s="218">
        <f t="shared" si="22"/>
        <v>222000</v>
      </c>
      <c r="F715" s="60" t="s">
        <v>166</v>
      </c>
      <c r="G715" s="66"/>
      <c r="H715" s="66"/>
      <c r="I715" s="66"/>
      <c r="J715" s="66"/>
      <c r="K715" s="66"/>
      <c r="L715" s="66"/>
      <c r="M715" s="66"/>
      <c r="N715" s="66"/>
      <c r="O715" s="66"/>
      <c r="P715" s="64">
        <v>18500</v>
      </c>
      <c r="Q715" s="66"/>
      <c r="R715" s="66"/>
      <c r="S715" s="214"/>
      <c r="T715" s="219">
        <f t="shared" si="23"/>
        <v>18500</v>
      </c>
    </row>
    <row r="716" spans="1:20" ht="33.75">
      <c r="A716" s="17" t="s">
        <v>224</v>
      </c>
      <c r="B716" s="73">
        <v>1</v>
      </c>
      <c r="C716" s="67"/>
      <c r="D716" s="212">
        <v>12</v>
      </c>
      <c r="E716" s="218">
        <f t="shared" si="22"/>
        <v>222000</v>
      </c>
      <c r="F716" s="60" t="s">
        <v>166</v>
      </c>
      <c r="G716" s="66"/>
      <c r="H716" s="66"/>
      <c r="I716" s="66"/>
      <c r="J716" s="66"/>
      <c r="K716" s="66"/>
      <c r="L716" s="66"/>
      <c r="M716" s="66"/>
      <c r="N716" s="66"/>
      <c r="O716" s="66"/>
      <c r="P716" s="64">
        <v>18500</v>
      </c>
      <c r="Q716" s="66"/>
      <c r="R716" s="66"/>
      <c r="S716" s="214"/>
      <c r="T716" s="219">
        <f t="shared" si="23"/>
        <v>18500</v>
      </c>
    </row>
    <row r="717" spans="1:20" ht="42" customHeight="1">
      <c r="A717" s="17" t="s">
        <v>225</v>
      </c>
      <c r="B717" s="73">
        <v>1</v>
      </c>
      <c r="C717" s="67"/>
      <c r="D717" s="212">
        <v>12</v>
      </c>
      <c r="E717" s="218">
        <f t="shared" si="22"/>
        <v>204000</v>
      </c>
      <c r="F717" s="60" t="s">
        <v>166</v>
      </c>
      <c r="G717" s="66"/>
      <c r="H717" s="66"/>
      <c r="I717" s="66"/>
      <c r="J717" s="66"/>
      <c r="K717" s="66"/>
      <c r="L717" s="66"/>
      <c r="M717" s="66"/>
      <c r="N717" s="66"/>
      <c r="O717" s="66"/>
      <c r="P717" s="64">
        <v>17000</v>
      </c>
      <c r="Q717" s="66"/>
      <c r="R717" s="66"/>
      <c r="S717" s="214"/>
      <c r="T717" s="219">
        <f t="shared" si="23"/>
        <v>17000</v>
      </c>
    </row>
    <row r="718" spans="1:20" ht="46.5" customHeight="1">
      <c r="A718" s="17" t="s">
        <v>225</v>
      </c>
      <c r="B718" s="73">
        <v>1</v>
      </c>
      <c r="C718" s="67"/>
      <c r="D718" s="212">
        <v>12</v>
      </c>
      <c r="E718" s="218">
        <f t="shared" si="22"/>
        <v>204000</v>
      </c>
      <c r="F718" s="60" t="s">
        <v>166</v>
      </c>
      <c r="G718" s="66"/>
      <c r="H718" s="66"/>
      <c r="I718" s="66"/>
      <c r="J718" s="66"/>
      <c r="K718" s="66"/>
      <c r="L718" s="66"/>
      <c r="M718" s="66"/>
      <c r="N718" s="66"/>
      <c r="O718" s="66"/>
      <c r="P718" s="64">
        <v>17000</v>
      </c>
      <c r="Q718" s="66"/>
      <c r="R718" s="66"/>
      <c r="S718" s="214"/>
      <c r="T718" s="219">
        <f t="shared" si="23"/>
        <v>17000</v>
      </c>
    </row>
    <row r="719" spans="1:20" ht="45">
      <c r="A719" s="17" t="s">
        <v>225</v>
      </c>
      <c r="B719" s="73">
        <v>1</v>
      </c>
      <c r="C719" s="67"/>
      <c r="D719" s="212">
        <v>12</v>
      </c>
      <c r="E719" s="218">
        <f t="shared" si="22"/>
        <v>204000</v>
      </c>
      <c r="F719" s="60" t="s">
        <v>166</v>
      </c>
      <c r="G719" s="66"/>
      <c r="H719" s="66"/>
      <c r="I719" s="66"/>
      <c r="J719" s="66"/>
      <c r="K719" s="66"/>
      <c r="L719" s="66"/>
      <c r="M719" s="66"/>
      <c r="N719" s="66"/>
      <c r="O719" s="66"/>
      <c r="P719" s="64">
        <v>17000</v>
      </c>
      <c r="Q719" s="66"/>
      <c r="R719" s="66"/>
      <c r="S719" s="214"/>
      <c r="T719" s="219">
        <f t="shared" si="23"/>
        <v>17000</v>
      </c>
    </row>
    <row r="720" spans="1:20" ht="45">
      <c r="A720" s="17" t="s">
        <v>225</v>
      </c>
      <c r="B720" s="73">
        <v>1</v>
      </c>
      <c r="C720" s="67"/>
      <c r="D720" s="212">
        <v>12</v>
      </c>
      <c r="E720" s="218">
        <f t="shared" si="22"/>
        <v>216000</v>
      </c>
      <c r="F720" s="60" t="s">
        <v>166</v>
      </c>
      <c r="G720" s="66"/>
      <c r="H720" s="66"/>
      <c r="I720" s="66"/>
      <c r="J720" s="66"/>
      <c r="K720" s="66"/>
      <c r="L720" s="66"/>
      <c r="M720" s="66"/>
      <c r="N720" s="66"/>
      <c r="O720" s="66"/>
      <c r="P720" s="64">
        <v>18000</v>
      </c>
      <c r="Q720" s="66"/>
      <c r="R720" s="66"/>
      <c r="S720" s="214"/>
      <c r="T720" s="219">
        <f t="shared" si="23"/>
        <v>18000</v>
      </c>
    </row>
    <row r="721" spans="1:20" ht="33.75">
      <c r="A721" s="17" t="s">
        <v>230</v>
      </c>
      <c r="B721" s="73">
        <v>1</v>
      </c>
      <c r="C721" s="67"/>
      <c r="D721" s="212">
        <v>12</v>
      </c>
      <c r="E721" s="218">
        <f t="shared" si="22"/>
        <v>36000</v>
      </c>
      <c r="F721" s="60" t="s">
        <v>166</v>
      </c>
      <c r="G721" s="66"/>
      <c r="H721" s="66"/>
      <c r="I721" s="66"/>
      <c r="J721" s="66"/>
      <c r="K721" s="66"/>
      <c r="L721" s="66"/>
      <c r="M721" s="66"/>
      <c r="N721" s="66"/>
      <c r="O721" s="66"/>
      <c r="P721" s="64">
        <v>3000</v>
      </c>
      <c r="Q721" s="66"/>
      <c r="R721" s="66"/>
      <c r="S721" s="214"/>
      <c r="T721" s="219">
        <f t="shared" si="23"/>
        <v>3000</v>
      </c>
    </row>
    <row r="722" spans="1:20" ht="56.25">
      <c r="A722" s="17" t="s">
        <v>295</v>
      </c>
      <c r="B722" s="73">
        <v>1</v>
      </c>
      <c r="C722" s="67"/>
      <c r="D722" s="212">
        <v>12</v>
      </c>
      <c r="E722" s="218">
        <f t="shared" si="22"/>
        <v>102000</v>
      </c>
      <c r="F722" s="60" t="s">
        <v>166</v>
      </c>
      <c r="G722" s="66"/>
      <c r="H722" s="66"/>
      <c r="I722" s="66"/>
      <c r="J722" s="66"/>
      <c r="K722" s="66"/>
      <c r="L722" s="66"/>
      <c r="M722" s="66"/>
      <c r="N722" s="66"/>
      <c r="O722" s="66"/>
      <c r="P722" s="64">
        <v>8500</v>
      </c>
      <c r="Q722" s="66"/>
      <c r="R722" s="66"/>
      <c r="S722" s="214"/>
      <c r="T722" s="219">
        <f t="shared" si="23"/>
        <v>8500</v>
      </c>
    </row>
    <row r="723" spans="1:20" ht="56.25">
      <c r="A723" s="17" t="s">
        <v>297</v>
      </c>
      <c r="B723" s="73">
        <v>1</v>
      </c>
      <c r="C723" s="67"/>
      <c r="D723" s="212">
        <v>12</v>
      </c>
      <c r="E723" s="218">
        <f t="shared" si="22"/>
        <v>36000</v>
      </c>
      <c r="F723" s="60" t="s">
        <v>166</v>
      </c>
      <c r="G723" s="66"/>
      <c r="H723" s="66"/>
      <c r="I723" s="66"/>
      <c r="J723" s="66"/>
      <c r="K723" s="66"/>
      <c r="L723" s="66"/>
      <c r="M723" s="66"/>
      <c r="N723" s="66"/>
      <c r="O723" s="66"/>
      <c r="P723" s="64">
        <v>3000</v>
      </c>
      <c r="Q723" s="66"/>
      <c r="R723" s="66"/>
      <c r="S723" s="214"/>
      <c r="T723" s="219">
        <f t="shared" si="23"/>
        <v>3000</v>
      </c>
    </row>
    <row r="724" spans="1:20" ht="33.75">
      <c r="A724" s="17" t="s">
        <v>234</v>
      </c>
      <c r="B724" s="73">
        <v>1</v>
      </c>
      <c r="C724" s="67"/>
      <c r="D724" s="212">
        <v>12</v>
      </c>
      <c r="E724" s="218">
        <f t="shared" si="22"/>
        <v>42000</v>
      </c>
      <c r="F724" s="60" t="s">
        <v>166</v>
      </c>
      <c r="G724" s="66"/>
      <c r="H724" s="66"/>
      <c r="I724" s="66"/>
      <c r="J724" s="66"/>
      <c r="K724" s="66"/>
      <c r="L724" s="66"/>
      <c r="M724" s="66"/>
      <c r="N724" s="66"/>
      <c r="O724" s="66"/>
      <c r="P724" s="64">
        <v>3500</v>
      </c>
      <c r="Q724" s="66"/>
      <c r="R724" s="66"/>
      <c r="S724" s="214"/>
      <c r="T724" s="219">
        <f t="shared" si="23"/>
        <v>3500</v>
      </c>
    </row>
    <row r="725" spans="1:20" ht="33.75">
      <c r="A725" s="17" t="s">
        <v>235</v>
      </c>
      <c r="B725" s="73">
        <v>1</v>
      </c>
      <c r="C725" s="67"/>
      <c r="D725" s="212">
        <v>12</v>
      </c>
      <c r="E725" s="218">
        <f t="shared" si="22"/>
        <v>36000</v>
      </c>
      <c r="F725" s="60" t="s">
        <v>166</v>
      </c>
      <c r="G725" s="66"/>
      <c r="H725" s="66"/>
      <c r="I725" s="66"/>
      <c r="J725" s="66"/>
      <c r="K725" s="66"/>
      <c r="L725" s="66"/>
      <c r="M725" s="66"/>
      <c r="N725" s="66"/>
      <c r="O725" s="66"/>
      <c r="P725" s="64">
        <v>3000</v>
      </c>
      <c r="Q725" s="66"/>
      <c r="R725" s="66"/>
      <c r="S725" s="214"/>
      <c r="T725" s="219">
        <f t="shared" si="23"/>
        <v>3000</v>
      </c>
    </row>
    <row r="726" spans="1:20" ht="33.75">
      <c r="A726" s="17" t="s">
        <v>235</v>
      </c>
      <c r="B726" s="73">
        <v>1</v>
      </c>
      <c r="C726" s="67"/>
      <c r="D726" s="212">
        <v>12</v>
      </c>
      <c r="E726" s="218">
        <f t="shared" si="22"/>
        <v>36000</v>
      </c>
      <c r="F726" s="60" t="s">
        <v>166</v>
      </c>
      <c r="G726" s="66"/>
      <c r="H726" s="66"/>
      <c r="I726" s="66"/>
      <c r="J726" s="66"/>
      <c r="K726" s="66"/>
      <c r="L726" s="66"/>
      <c r="M726" s="66"/>
      <c r="N726" s="66"/>
      <c r="O726" s="66"/>
      <c r="P726" s="64">
        <v>3000</v>
      </c>
      <c r="Q726" s="66"/>
      <c r="R726" s="66"/>
      <c r="S726" s="214"/>
      <c r="T726" s="219">
        <f t="shared" si="23"/>
        <v>3000</v>
      </c>
    </row>
    <row r="727" spans="1:20" ht="33.75">
      <c r="A727" s="17" t="s">
        <v>235</v>
      </c>
      <c r="B727" s="73">
        <v>1</v>
      </c>
      <c r="C727" s="67"/>
      <c r="D727" s="212">
        <v>12</v>
      </c>
      <c r="E727" s="218">
        <f t="shared" si="22"/>
        <v>36000</v>
      </c>
      <c r="F727" s="60" t="s">
        <v>166</v>
      </c>
      <c r="G727" s="66"/>
      <c r="H727" s="66"/>
      <c r="I727" s="66"/>
      <c r="J727" s="66"/>
      <c r="K727" s="66"/>
      <c r="L727" s="66"/>
      <c r="M727" s="66"/>
      <c r="N727" s="66"/>
      <c r="O727" s="66"/>
      <c r="P727" s="64">
        <v>3000</v>
      </c>
      <c r="Q727" s="66"/>
      <c r="R727" s="66"/>
      <c r="S727" s="214"/>
      <c r="T727" s="219">
        <f t="shared" si="23"/>
        <v>3000</v>
      </c>
    </row>
    <row r="728" spans="1:20" ht="33.75">
      <c r="A728" s="17" t="s">
        <v>235</v>
      </c>
      <c r="B728" s="73">
        <v>1</v>
      </c>
      <c r="C728" s="67"/>
      <c r="D728" s="212">
        <v>12</v>
      </c>
      <c r="E728" s="218">
        <f t="shared" si="22"/>
        <v>36000</v>
      </c>
      <c r="F728" s="60" t="s">
        <v>166</v>
      </c>
      <c r="G728" s="66"/>
      <c r="H728" s="66"/>
      <c r="I728" s="66"/>
      <c r="J728" s="66"/>
      <c r="K728" s="66"/>
      <c r="L728" s="66"/>
      <c r="M728" s="66"/>
      <c r="N728" s="66"/>
      <c r="O728" s="66"/>
      <c r="P728" s="64">
        <v>3000</v>
      </c>
      <c r="Q728" s="66"/>
      <c r="R728" s="66"/>
      <c r="S728" s="214"/>
      <c r="T728" s="219">
        <f t="shared" si="23"/>
        <v>3000</v>
      </c>
    </row>
    <row r="729" spans="1:20" ht="33.75">
      <c r="A729" s="17" t="s">
        <v>227</v>
      </c>
      <c r="B729" s="73">
        <v>1</v>
      </c>
      <c r="C729" s="67"/>
      <c r="D729" s="212">
        <v>12</v>
      </c>
      <c r="E729" s="218">
        <f t="shared" si="22"/>
        <v>36000</v>
      </c>
      <c r="F729" s="60" t="s">
        <v>166</v>
      </c>
      <c r="G729" s="66"/>
      <c r="H729" s="66"/>
      <c r="I729" s="66"/>
      <c r="J729" s="66"/>
      <c r="K729" s="66"/>
      <c r="L729" s="66"/>
      <c r="M729" s="66"/>
      <c r="N729" s="66"/>
      <c r="O729" s="66"/>
      <c r="P729" s="64">
        <v>3000</v>
      </c>
      <c r="Q729" s="66"/>
      <c r="R729" s="66"/>
      <c r="S729" s="214"/>
      <c r="T729" s="219">
        <f t="shared" si="23"/>
        <v>3000</v>
      </c>
    </row>
    <row r="730" spans="1:20" ht="56.25">
      <c r="A730" s="17" t="s">
        <v>295</v>
      </c>
      <c r="B730" s="73">
        <v>1</v>
      </c>
      <c r="C730" s="67"/>
      <c r="D730" s="212">
        <v>12</v>
      </c>
      <c r="E730" s="218">
        <f t="shared" si="22"/>
        <v>78000</v>
      </c>
      <c r="F730" s="60" t="s">
        <v>166</v>
      </c>
      <c r="G730" s="66"/>
      <c r="H730" s="66"/>
      <c r="I730" s="66"/>
      <c r="J730" s="66"/>
      <c r="K730" s="66"/>
      <c r="L730" s="66"/>
      <c r="M730" s="66"/>
      <c r="N730" s="66"/>
      <c r="O730" s="66"/>
      <c r="P730" s="64">
        <v>6500</v>
      </c>
      <c r="Q730" s="66"/>
      <c r="R730" s="66"/>
      <c r="S730" s="214"/>
      <c r="T730" s="219">
        <f t="shared" si="23"/>
        <v>6500</v>
      </c>
    </row>
    <row r="731" spans="1:20" ht="33.75">
      <c r="A731" s="17" t="s">
        <v>337</v>
      </c>
      <c r="B731" s="73">
        <v>1</v>
      </c>
      <c r="C731" s="67"/>
      <c r="D731" s="212">
        <v>12</v>
      </c>
      <c r="E731" s="218">
        <f t="shared" si="22"/>
        <v>174000</v>
      </c>
      <c r="F731" s="60" t="s">
        <v>166</v>
      </c>
      <c r="G731" s="66"/>
      <c r="H731" s="66"/>
      <c r="I731" s="66"/>
      <c r="J731" s="66"/>
      <c r="K731" s="66"/>
      <c r="L731" s="66"/>
      <c r="M731" s="66"/>
      <c r="N731" s="66"/>
      <c r="O731" s="66"/>
      <c r="P731" s="64">
        <v>14500</v>
      </c>
      <c r="Q731" s="66"/>
      <c r="R731" s="66"/>
      <c r="S731" s="214"/>
      <c r="T731" s="219">
        <f t="shared" si="23"/>
        <v>14500</v>
      </c>
    </row>
    <row r="732" spans="1:20" ht="33.75">
      <c r="A732" s="17" t="s">
        <v>338</v>
      </c>
      <c r="B732" s="73">
        <v>1</v>
      </c>
      <c r="C732" s="67"/>
      <c r="D732" s="212">
        <v>12</v>
      </c>
      <c r="E732" s="218">
        <f t="shared" si="22"/>
        <v>162000</v>
      </c>
      <c r="F732" s="60" t="s">
        <v>166</v>
      </c>
      <c r="G732" s="66"/>
      <c r="H732" s="66"/>
      <c r="I732" s="66"/>
      <c r="J732" s="66"/>
      <c r="K732" s="66"/>
      <c r="L732" s="66"/>
      <c r="M732" s="66"/>
      <c r="N732" s="66"/>
      <c r="O732" s="66"/>
      <c r="P732" s="64">
        <v>13500</v>
      </c>
      <c r="Q732" s="66"/>
      <c r="R732" s="66"/>
      <c r="S732" s="214"/>
      <c r="T732" s="219">
        <f t="shared" si="23"/>
        <v>13500</v>
      </c>
    </row>
    <row r="733" spans="1:20" ht="33.75">
      <c r="A733" s="17" t="s">
        <v>339</v>
      </c>
      <c r="B733" s="73">
        <v>1</v>
      </c>
      <c r="C733" s="67"/>
      <c r="D733" s="212">
        <v>12</v>
      </c>
      <c r="E733" s="218">
        <f t="shared" si="22"/>
        <v>36000</v>
      </c>
      <c r="F733" s="60" t="s">
        <v>166</v>
      </c>
      <c r="G733" s="66"/>
      <c r="H733" s="66"/>
      <c r="I733" s="66"/>
      <c r="J733" s="66"/>
      <c r="K733" s="66"/>
      <c r="L733" s="66"/>
      <c r="M733" s="66"/>
      <c r="N733" s="66"/>
      <c r="O733" s="66"/>
      <c r="P733" s="64">
        <v>3000</v>
      </c>
      <c r="Q733" s="66"/>
      <c r="R733" s="66"/>
      <c r="S733" s="214"/>
      <c r="T733" s="219">
        <f t="shared" si="23"/>
        <v>3000</v>
      </c>
    </row>
    <row r="734" spans="1:20" ht="45">
      <c r="A734" s="17" t="s">
        <v>340</v>
      </c>
      <c r="B734" s="73">
        <v>1</v>
      </c>
      <c r="C734" s="67"/>
      <c r="D734" s="212">
        <v>12</v>
      </c>
      <c r="E734" s="218">
        <f t="shared" si="22"/>
        <v>144000</v>
      </c>
      <c r="F734" s="60" t="s">
        <v>166</v>
      </c>
      <c r="G734" s="66"/>
      <c r="H734" s="66"/>
      <c r="I734" s="66"/>
      <c r="J734" s="66"/>
      <c r="K734" s="66"/>
      <c r="L734" s="66"/>
      <c r="M734" s="66"/>
      <c r="N734" s="66"/>
      <c r="O734" s="66"/>
      <c r="P734" s="64">
        <v>12000</v>
      </c>
      <c r="Q734" s="66"/>
      <c r="R734" s="66"/>
      <c r="S734" s="214"/>
      <c r="T734" s="219">
        <f t="shared" si="23"/>
        <v>12000</v>
      </c>
    </row>
    <row r="735" spans="1:20" ht="33.75">
      <c r="A735" s="17" t="s">
        <v>246</v>
      </c>
      <c r="B735" s="73">
        <v>1</v>
      </c>
      <c r="C735" s="67"/>
      <c r="D735" s="212">
        <v>12</v>
      </c>
      <c r="E735" s="218">
        <f t="shared" si="22"/>
        <v>204000</v>
      </c>
      <c r="F735" s="60" t="s">
        <v>166</v>
      </c>
      <c r="G735" s="66"/>
      <c r="H735" s="66"/>
      <c r="I735" s="66"/>
      <c r="J735" s="66"/>
      <c r="K735" s="66"/>
      <c r="L735" s="66"/>
      <c r="M735" s="66"/>
      <c r="N735" s="66"/>
      <c r="O735" s="66"/>
      <c r="P735" s="64">
        <v>17000</v>
      </c>
      <c r="Q735" s="66"/>
      <c r="R735" s="66"/>
      <c r="S735" s="214"/>
      <c r="T735" s="219">
        <f t="shared" si="23"/>
        <v>17000</v>
      </c>
    </row>
    <row r="736" spans="1:20" ht="33.75">
      <c r="A736" s="17" t="s">
        <v>246</v>
      </c>
      <c r="B736" s="73">
        <v>1</v>
      </c>
      <c r="C736" s="67"/>
      <c r="D736" s="212">
        <v>12</v>
      </c>
      <c r="E736" s="218">
        <f t="shared" si="22"/>
        <v>210000</v>
      </c>
      <c r="F736" s="60" t="s">
        <v>166</v>
      </c>
      <c r="G736" s="66"/>
      <c r="H736" s="66"/>
      <c r="I736" s="66"/>
      <c r="J736" s="66"/>
      <c r="K736" s="66"/>
      <c r="L736" s="66"/>
      <c r="M736" s="66"/>
      <c r="N736" s="66"/>
      <c r="O736" s="66"/>
      <c r="P736" s="64">
        <v>17500</v>
      </c>
      <c r="Q736" s="66"/>
      <c r="R736" s="66"/>
      <c r="S736" s="214"/>
      <c r="T736" s="219">
        <f t="shared" si="23"/>
        <v>17500</v>
      </c>
    </row>
    <row r="737" spans="1:20" ht="33.75">
      <c r="A737" s="17" t="s">
        <v>239</v>
      </c>
      <c r="B737" s="73">
        <v>1</v>
      </c>
      <c r="C737" s="67"/>
      <c r="D737" s="212">
        <v>12</v>
      </c>
      <c r="E737" s="218">
        <f t="shared" si="22"/>
        <v>162000</v>
      </c>
      <c r="F737" s="60" t="s">
        <v>166</v>
      </c>
      <c r="G737" s="66"/>
      <c r="H737" s="66"/>
      <c r="I737" s="66"/>
      <c r="J737" s="66"/>
      <c r="K737" s="66"/>
      <c r="L737" s="66"/>
      <c r="M737" s="66"/>
      <c r="N737" s="66"/>
      <c r="O737" s="66"/>
      <c r="P737" s="64">
        <v>13500</v>
      </c>
      <c r="Q737" s="66"/>
      <c r="R737" s="66"/>
      <c r="S737" s="214"/>
      <c r="T737" s="219">
        <f t="shared" si="23"/>
        <v>13500</v>
      </c>
    </row>
    <row r="738" spans="1:20" ht="33.75">
      <c r="A738" s="17" t="s">
        <v>239</v>
      </c>
      <c r="B738" s="73">
        <v>1</v>
      </c>
      <c r="C738" s="67"/>
      <c r="D738" s="212">
        <v>12</v>
      </c>
      <c r="E738" s="218">
        <f t="shared" si="22"/>
        <v>138000</v>
      </c>
      <c r="F738" s="60" t="s">
        <v>166</v>
      </c>
      <c r="G738" s="66"/>
      <c r="H738" s="66"/>
      <c r="I738" s="66"/>
      <c r="J738" s="66"/>
      <c r="K738" s="66"/>
      <c r="L738" s="66"/>
      <c r="M738" s="66"/>
      <c r="N738" s="66"/>
      <c r="O738" s="66"/>
      <c r="P738" s="64">
        <v>11500</v>
      </c>
      <c r="Q738" s="66"/>
      <c r="R738" s="66"/>
      <c r="S738" s="214"/>
      <c r="T738" s="219">
        <f t="shared" si="23"/>
        <v>11500</v>
      </c>
    </row>
    <row r="739" spans="1:20" ht="33.75">
      <c r="A739" s="17" t="s">
        <v>239</v>
      </c>
      <c r="B739" s="73">
        <v>1</v>
      </c>
      <c r="C739" s="67"/>
      <c r="D739" s="212">
        <v>12</v>
      </c>
      <c r="E739" s="218">
        <f t="shared" si="22"/>
        <v>138000</v>
      </c>
      <c r="F739" s="60" t="s">
        <v>166</v>
      </c>
      <c r="G739" s="66"/>
      <c r="H739" s="66"/>
      <c r="I739" s="66"/>
      <c r="J739" s="66"/>
      <c r="K739" s="66"/>
      <c r="L739" s="66"/>
      <c r="M739" s="66"/>
      <c r="N739" s="66"/>
      <c r="O739" s="66"/>
      <c r="P739" s="64">
        <v>11500</v>
      </c>
      <c r="Q739" s="66"/>
      <c r="R739" s="66"/>
      <c r="S739" s="214"/>
      <c r="T739" s="219">
        <f t="shared" si="23"/>
        <v>11500</v>
      </c>
    </row>
    <row r="740" spans="1:20" ht="33.75">
      <c r="A740" s="17" t="s">
        <v>239</v>
      </c>
      <c r="B740" s="73">
        <v>1</v>
      </c>
      <c r="C740" s="67"/>
      <c r="D740" s="212">
        <v>12</v>
      </c>
      <c r="E740" s="218">
        <f t="shared" si="22"/>
        <v>138000</v>
      </c>
      <c r="F740" s="60" t="s">
        <v>166</v>
      </c>
      <c r="G740" s="66"/>
      <c r="H740" s="66"/>
      <c r="I740" s="66"/>
      <c r="J740" s="66"/>
      <c r="K740" s="66"/>
      <c r="L740" s="66"/>
      <c r="M740" s="66"/>
      <c r="N740" s="66"/>
      <c r="O740" s="66"/>
      <c r="P740" s="64">
        <v>11500</v>
      </c>
      <c r="Q740" s="66"/>
      <c r="R740" s="66"/>
      <c r="S740" s="214"/>
      <c r="T740" s="219">
        <f t="shared" si="23"/>
        <v>11500</v>
      </c>
    </row>
    <row r="741" spans="1:20" ht="33.75">
      <c r="A741" s="17" t="s">
        <v>239</v>
      </c>
      <c r="B741" s="73">
        <v>1</v>
      </c>
      <c r="C741" s="67"/>
      <c r="D741" s="212">
        <v>12</v>
      </c>
      <c r="E741" s="218">
        <f t="shared" si="22"/>
        <v>162000</v>
      </c>
      <c r="F741" s="60" t="s">
        <v>166</v>
      </c>
      <c r="G741" s="66"/>
      <c r="H741" s="66"/>
      <c r="I741" s="66"/>
      <c r="J741" s="66"/>
      <c r="K741" s="66"/>
      <c r="L741" s="66"/>
      <c r="M741" s="66"/>
      <c r="N741" s="66"/>
      <c r="O741" s="66"/>
      <c r="P741" s="64">
        <v>13500</v>
      </c>
      <c r="Q741" s="66"/>
      <c r="R741" s="66"/>
      <c r="S741" s="214"/>
      <c r="T741" s="219">
        <f t="shared" si="23"/>
        <v>13500</v>
      </c>
    </row>
    <row r="742" spans="1:20" ht="33.75">
      <c r="A742" s="17" t="s">
        <v>246</v>
      </c>
      <c r="B742" s="73">
        <v>1</v>
      </c>
      <c r="C742" s="67"/>
      <c r="D742" s="212">
        <v>12</v>
      </c>
      <c r="E742" s="218">
        <f t="shared" si="22"/>
        <v>204000</v>
      </c>
      <c r="F742" s="60" t="s">
        <v>166</v>
      </c>
      <c r="G742" s="66"/>
      <c r="H742" s="66"/>
      <c r="I742" s="66"/>
      <c r="J742" s="66"/>
      <c r="K742" s="66"/>
      <c r="L742" s="66"/>
      <c r="M742" s="66"/>
      <c r="N742" s="66"/>
      <c r="O742" s="66"/>
      <c r="P742" s="64">
        <v>17000</v>
      </c>
      <c r="Q742" s="66"/>
      <c r="R742" s="66"/>
      <c r="S742" s="214"/>
      <c r="T742" s="219">
        <f t="shared" si="23"/>
        <v>17000</v>
      </c>
    </row>
    <row r="743" spans="1:20" ht="45">
      <c r="A743" s="17" t="s">
        <v>341</v>
      </c>
      <c r="B743" s="73">
        <v>1</v>
      </c>
      <c r="C743" s="67"/>
      <c r="D743" s="212">
        <v>12</v>
      </c>
      <c r="E743" s="218">
        <f t="shared" si="22"/>
        <v>48000</v>
      </c>
      <c r="F743" s="60" t="s">
        <v>166</v>
      </c>
      <c r="G743" s="66"/>
      <c r="H743" s="66"/>
      <c r="I743" s="66"/>
      <c r="J743" s="66"/>
      <c r="K743" s="66"/>
      <c r="L743" s="66"/>
      <c r="M743" s="66"/>
      <c r="N743" s="66"/>
      <c r="O743" s="66"/>
      <c r="P743" s="64">
        <v>4000</v>
      </c>
      <c r="Q743" s="66"/>
      <c r="R743" s="66"/>
      <c r="S743" s="214"/>
      <c r="T743" s="219">
        <f t="shared" si="23"/>
        <v>4000</v>
      </c>
    </row>
    <row r="744" spans="1:20" ht="45">
      <c r="A744" s="17" t="s">
        <v>341</v>
      </c>
      <c r="B744" s="73">
        <v>1</v>
      </c>
      <c r="C744" s="67"/>
      <c r="D744" s="212">
        <v>12</v>
      </c>
      <c r="E744" s="218">
        <f t="shared" si="22"/>
        <v>72000</v>
      </c>
      <c r="F744" s="60" t="s">
        <v>166</v>
      </c>
      <c r="G744" s="66"/>
      <c r="H744" s="66"/>
      <c r="I744" s="66"/>
      <c r="J744" s="66"/>
      <c r="K744" s="66"/>
      <c r="L744" s="66"/>
      <c r="M744" s="66"/>
      <c r="N744" s="66"/>
      <c r="O744" s="66"/>
      <c r="P744" s="64">
        <v>6000</v>
      </c>
      <c r="Q744" s="66"/>
      <c r="R744" s="66"/>
      <c r="S744" s="214"/>
      <c r="T744" s="219">
        <f t="shared" si="23"/>
        <v>6000</v>
      </c>
    </row>
    <row r="745" spans="1:20" ht="33.75">
      <c r="A745" s="17" t="s">
        <v>255</v>
      </c>
      <c r="B745" s="73">
        <v>1</v>
      </c>
      <c r="C745" s="67"/>
      <c r="D745" s="212">
        <v>12</v>
      </c>
      <c r="E745" s="218">
        <f t="shared" si="22"/>
        <v>36000</v>
      </c>
      <c r="F745" s="60" t="s">
        <v>166</v>
      </c>
      <c r="G745" s="66"/>
      <c r="H745" s="66"/>
      <c r="I745" s="66"/>
      <c r="J745" s="66"/>
      <c r="K745" s="66"/>
      <c r="L745" s="66"/>
      <c r="M745" s="66"/>
      <c r="N745" s="66"/>
      <c r="O745" s="66"/>
      <c r="P745" s="64">
        <v>3000</v>
      </c>
      <c r="Q745" s="66"/>
      <c r="R745" s="66"/>
      <c r="S745" s="214"/>
      <c r="T745" s="219">
        <f t="shared" si="23"/>
        <v>3000</v>
      </c>
    </row>
    <row r="746" spans="1:20" ht="33.75">
      <c r="A746" s="17" t="s">
        <v>256</v>
      </c>
      <c r="B746" s="73">
        <v>1</v>
      </c>
      <c r="C746" s="67"/>
      <c r="D746" s="212">
        <v>12</v>
      </c>
      <c r="E746" s="218">
        <f t="shared" si="22"/>
        <v>36000</v>
      </c>
      <c r="F746" s="60" t="s">
        <v>166</v>
      </c>
      <c r="G746" s="66"/>
      <c r="H746" s="66"/>
      <c r="I746" s="66"/>
      <c r="J746" s="66"/>
      <c r="K746" s="66"/>
      <c r="L746" s="66"/>
      <c r="M746" s="66"/>
      <c r="N746" s="66"/>
      <c r="O746" s="66"/>
      <c r="P746" s="64">
        <v>3000</v>
      </c>
      <c r="Q746" s="66"/>
      <c r="R746" s="66"/>
      <c r="S746" s="214"/>
      <c r="T746" s="219">
        <f t="shared" si="23"/>
        <v>3000</v>
      </c>
    </row>
    <row r="747" spans="1:20" ht="33.75">
      <c r="A747" s="17" t="s">
        <v>257</v>
      </c>
      <c r="B747" s="73">
        <v>1</v>
      </c>
      <c r="C747" s="67"/>
      <c r="D747" s="212">
        <v>12</v>
      </c>
      <c r="E747" s="218">
        <f t="shared" si="22"/>
        <v>48000</v>
      </c>
      <c r="F747" s="60" t="s">
        <v>166</v>
      </c>
      <c r="G747" s="66"/>
      <c r="H747" s="66"/>
      <c r="I747" s="66"/>
      <c r="J747" s="66"/>
      <c r="K747" s="66"/>
      <c r="L747" s="66"/>
      <c r="M747" s="66"/>
      <c r="N747" s="66"/>
      <c r="O747" s="66"/>
      <c r="P747" s="64">
        <v>4000</v>
      </c>
      <c r="Q747" s="66"/>
      <c r="R747" s="66"/>
      <c r="S747" s="214"/>
      <c r="T747" s="219">
        <f t="shared" si="23"/>
        <v>4000</v>
      </c>
    </row>
    <row r="748" spans="1:20" ht="22.5">
      <c r="A748" s="17" t="s">
        <v>342</v>
      </c>
      <c r="B748" s="73">
        <v>1</v>
      </c>
      <c r="C748" s="67"/>
      <c r="D748" s="212">
        <v>12</v>
      </c>
      <c r="E748" s="218">
        <f t="shared" si="22"/>
        <v>36000</v>
      </c>
      <c r="F748" s="60" t="s">
        <v>166</v>
      </c>
      <c r="G748" s="66"/>
      <c r="H748" s="66"/>
      <c r="I748" s="66"/>
      <c r="J748" s="66"/>
      <c r="K748" s="66"/>
      <c r="L748" s="66"/>
      <c r="M748" s="66"/>
      <c r="N748" s="66"/>
      <c r="O748" s="66"/>
      <c r="P748" s="64">
        <v>3000</v>
      </c>
      <c r="Q748" s="66"/>
      <c r="R748" s="66"/>
      <c r="S748" s="214"/>
      <c r="T748" s="219">
        <f t="shared" si="23"/>
        <v>3000</v>
      </c>
    </row>
    <row r="749" spans="1:20" ht="33.75">
      <c r="A749" s="17" t="s">
        <v>327</v>
      </c>
      <c r="B749" s="73">
        <v>1</v>
      </c>
      <c r="C749" s="67"/>
      <c r="D749" s="212">
        <v>12</v>
      </c>
      <c r="E749" s="218">
        <f t="shared" si="22"/>
        <v>132000</v>
      </c>
      <c r="F749" s="60" t="s">
        <v>166</v>
      </c>
      <c r="G749" s="66"/>
      <c r="H749" s="66"/>
      <c r="I749" s="66"/>
      <c r="J749" s="66"/>
      <c r="K749" s="66"/>
      <c r="L749" s="66"/>
      <c r="M749" s="66"/>
      <c r="N749" s="66"/>
      <c r="O749" s="66"/>
      <c r="P749" s="64">
        <v>11000</v>
      </c>
      <c r="Q749" s="66"/>
      <c r="R749" s="66"/>
      <c r="S749" s="214"/>
      <c r="T749" s="219">
        <f t="shared" si="23"/>
        <v>11000</v>
      </c>
    </row>
    <row r="750" spans="1:20" ht="33.75">
      <c r="A750" s="17" t="s">
        <v>327</v>
      </c>
      <c r="B750" s="73">
        <v>1</v>
      </c>
      <c r="C750" s="67"/>
      <c r="D750" s="212">
        <v>12</v>
      </c>
      <c r="E750" s="218">
        <f t="shared" si="22"/>
        <v>120000</v>
      </c>
      <c r="F750" s="60" t="s">
        <v>166</v>
      </c>
      <c r="G750" s="66"/>
      <c r="H750" s="66"/>
      <c r="I750" s="66"/>
      <c r="J750" s="66"/>
      <c r="K750" s="66"/>
      <c r="L750" s="66"/>
      <c r="M750" s="66"/>
      <c r="N750" s="66"/>
      <c r="O750" s="66"/>
      <c r="P750" s="64">
        <v>10000</v>
      </c>
      <c r="Q750" s="66"/>
      <c r="R750" s="66"/>
      <c r="S750" s="214"/>
      <c r="T750" s="219">
        <f t="shared" si="23"/>
        <v>10000</v>
      </c>
    </row>
    <row r="751" spans="1:20" ht="22.5">
      <c r="A751" s="17" t="s">
        <v>343</v>
      </c>
      <c r="B751" s="73">
        <v>1</v>
      </c>
      <c r="C751" s="67"/>
      <c r="D751" s="212">
        <v>12</v>
      </c>
      <c r="E751" s="218">
        <f t="shared" si="22"/>
        <v>144000</v>
      </c>
      <c r="F751" s="60" t="s">
        <v>166</v>
      </c>
      <c r="G751" s="66"/>
      <c r="H751" s="66"/>
      <c r="I751" s="66"/>
      <c r="J751" s="66"/>
      <c r="K751" s="66"/>
      <c r="L751" s="66"/>
      <c r="M751" s="66"/>
      <c r="N751" s="66"/>
      <c r="O751" s="66"/>
      <c r="P751" s="64">
        <v>12000</v>
      </c>
      <c r="Q751" s="66"/>
      <c r="R751" s="66"/>
      <c r="S751" s="214"/>
      <c r="T751" s="219">
        <f t="shared" si="23"/>
        <v>12000</v>
      </c>
    </row>
    <row r="752" spans="1:20" ht="56.25">
      <c r="A752" s="17" t="s">
        <v>344</v>
      </c>
      <c r="B752" s="73">
        <v>1</v>
      </c>
      <c r="C752" s="67"/>
      <c r="D752" s="212">
        <v>12</v>
      </c>
      <c r="E752" s="218">
        <f t="shared" si="22"/>
        <v>204000</v>
      </c>
      <c r="F752" s="60" t="s">
        <v>166</v>
      </c>
      <c r="G752" s="66"/>
      <c r="H752" s="66"/>
      <c r="I752" s="66"/>
      <c r="J752" s="66"/>
      <c r="K752" s="66"/>
      <c r="L752" s="66"/>
      <c r="M752" s="66"/>
      <c r="N752" s="66"/>
      <c r="O752" s="66"/>
      <c r="P752" s="64">
        <v>17000</v>
      </c>
      <c r="Q752" s="66"/>
      <c r="R752" s="66"/>
      <c r="S752" s="214"/>
      <c r="T752" s="219">
        <f t="shared" si="23"/>
        <v>17000</v>
      </c>
    </row>
    <row r="753" spans="1:20" ht="45">
      <c r="A753" s="17" t="s">
        <v>263</v>
      </c>
      <c r="B753" s="73">
        <v>1</v>
      </c>
      <c r="C753" s="67"/>
      <c r="D753" s="212">
        <v>12</v>
      </c>
      <c r="E753" s="218">
        <f t="shared" si="22"/>
        <v>162000</v>
      </c>
      <c r="F753" s="60" t="s">
        <v>166</v>
      </c>
      <c r="G753" s="66"/>
      <c r="H753" s="66"/>
      <c r="I753" s="66"/>
      <c r="J753" s="66"/>
      <c r="K753" s="66"/>
      <c r="L753" s="66"/>
      <c r="M753" s="66"/>
      <c r="N753" s="66"/>
      <c r="O753" s="66"/>
      <c r="P753" s="64">
        <v>13500</v>
      </c>
      <c r="Q753" s="66"/>
      <c r="R753" s="66"/>
      <c r="S753" s="214"/>
      <c r="T753" s="219">
        <f t="shared" si="23"/>
        <v>13500</v>
      </c>
    </row>
    <row r="754" spans="1:20" ht="33.75">
      <c r="A754" s="17" t="s">
        <v>205</v>
      </c>
      <c r="B754" s="73">
        <v>1</v>
      </c>
      <c r="C754" s="67"/>
      <c r="D754" s="212">
        <v>12</v>
      </c>
      <c r="E754" s="218">
        <f t="shared" si="22"/>
        <v>90000</v>
      </c>
      <c r="F754" s="60" t="s">
        <v>166</v>
      </c>
      <c r="G754" s="66"/>
      <c r="H754" s="66"/>
      <c r="I754" s="66"/>
      <c r="J754" s="66"/>
      <c r="K754" s="66"/>
      <c r="L754" s="66"/>
      <c r="M754" s="66"/>
      <c r="N754" s="66"/>
      <c r="O754" s="66"/>
      <c r="P754" s="64">
        <v>7500</v>
      </c>
      <c r="Q754" s="66"/>
      <c r="R754" s="66"/>
      <c r="S754" s="214"/>
      <c r="T754" s="219">
        <f t="shared" si="23"/>
        <v>7500</v>
      </c>
    </row>
    <row r="755" spans="1:20" ht="33.75">
      <c r="A755" s="17" t="s">
        <v>345</v>
      </c>
      <c r="B755" s="73">
        <v>1</v>
      </c>
      <c r="C755" s="67"/>
      <c r="D755" s="212">
        <v>12</v>
      </c>
      <c r="E755" s="218">
        <f t="shared" si="22"/>
        <v>97500</v>
      </c>
      <c r="F755" s="60" t="s">
        <v>166</v>
      </c>
      <c r="G755" s="66"/>
      <c r="H755" s="66"/>
      <c r="I755" s="66"/>
      <c r="J755" s="66"/>
      <c r="K755" s="66"/>
      <c r="L755" s="66"/>
      <c r="M755" s="66"/>
      <c r="N755" s="66"/>
      <c r="O755" s="66"/>
      <c r="P755" s="64">
        <v>8125</v>
      </c>
      <c r="Q755" s="66"/>
      <c r="R755" s="66"/>
      <c r="S755" s="214"/>
      <c r="T755" s="219">
        <f t="shared" si="23"/>
        <v>8125</v>
      </c>
    </row>
    <row r="756" spans="1:20" ht="22.5">
      <c r="A756" s="17" t="s">
        <v>346</v>
      </c>
      <c r="B756" s="73">
        <v>1</v>
      </c>
      <c r="C756" s="67"/>
      <c r="D756" s="212">
        <v>12</v>
      </c>
      <c r="E756" s="218">
        <f t="shared" si="22"/>
        <v>261000</v>
      </c>
      <c r="F756" s="60" t="s">
        <v>166</v>
      </c>
      <c r="G756" s="66"/>
      <c r="H756" s="66"/>
      <c r="I756" s="66"/>
      <c r="J756" s="66"/>
      <c r="K756" s="66"/>
      <c r="L756" s="66"/>
      <c r="M756" s="66"/>
      <c r="N756" s="66"/>
      <c r="O756" s="66"/>
      <c r="P756" s="64">
        <v>21750</v>
      </c>
      <c r="Q756" s="66"/>
      <c r="R756" s="66"/>
      <c r="S756" s="214"/>
      <c r="T756" s="219">
        <f t="shared" si="23"/>
        <v>21750</v>
      </c>
    </row>
    <row r="757" spans="1:20" ht="22.5">
      <c r="A757" s="17" t="s">
        <v>347</v>
      </c>
      <c r="B757" s="73">
        <v>1</v>
      </c>
      <c r="C757" s="67"/>
      <c r="D757" s="212">
        <v>12</v>
      </c>
      <c r="E757" s="218">
        <f t="shared" si="22"/>
        <v>273000</v>
      </c>
      <c r="F757" s="60" t="s">
        <v>166</v>
      </c>
      <c r="G757" s="66"/>
      <c r="H757" s="66"/>
      <c r="I757" s="66"/>
      <c r="J757" s="66"/>
      <c r="K757" s="66"/>
      <c r="L757" s="66"/>
      <c r="M757" s="66"/>
      <c r="N757" s="66"/>
      <c r="O757" s="66"/>
      <c r="P757" s="64">
        <v>22750</v>
      </c>
      <c r="Q757" s="66"/>
      <c r="R757" s="66"/>
      <c r="S757" s="214"/>
      <c r="T757" s="219">
        <f t="shared" si="23"/>
        <v>22750</v>
      </c>
    </row>
    <row r="758" spans="1:20" ht="33.75">
      <c r="A758" s="17" t="s">
        <v>348</v>
      </c>
      <c r="B758" s="73">
        <v>1</v>
      </c>
      <c r="C758" s="67"/>
      <c r="D758" s="212">
        <v>12</v>
      </c>
      <c r="E758" s="218">
        <f t="shared" si="22"/>
        <v>90600</v>
      </c>
      <c r="F758" s="60" t="s">
        <v>166</v>
      </c>
      <c r="G758" s="66"/>
      <c r="H758" s="66"/>
      <c r="I758" s="66"/>
      <c r="J758" s="66"/>
      <c r="K758" s="66"/>
      <c r="L758" s="66"/>
      <c r="M758" s="66"/>
      <c r="N758" s="66"/>
      <c r="O758" s="66"/>
      <c r="P758" s="64">
        <v>7550</v>
      </c>
      <c r="Q758" s="66"/>
      <c r="R758" s="66"/>
      <c r="S758" s="214"/>
      <c r="T758" s="219">
        <f t="shared" si="23"/>
        <v>7550</v>
      </c>
    </row>
    <row r="759" spans="1:20" ht="22.5">
      <c r="A759" s="17" t="s">
        <v>349</v>
      </c>
      <c r="B759" s="73">
        <v>1</v>
      </c>
      <c r="C759" s="67"/>
      <c r="D759" s="212">
        <v>12</v>
      </c>
      <c r="E759" s="218">
        <f t="shared" si="22"/>
        <v>84000</v>
      </c>
      <c r="F759" s="60" t="s">
        <v>166</v>
      </c>
      <c r="G759" s="66"/>
      <c r="H759" s="66"/>
      <c r="I759" s="66"/>
      <c r="J759" s="66"/>
      <c r="K759" s="66"/>
      <c r="L759" s="66"/>
      <c r="M759" s="66"/>
      <c r="N759" s="66"/>
      <c r="O759" s="66"/>
      <c r="P759" s="64">
        <v>7000</v>
      </c>
      <c r="Q759" s="66"/>
      <c r="R759" s="66"/>
      <c r="S759" s="214"/>
      <c r="T759" s="219">
        <f t="shared" si="23"/>
        <v>7000</v>
      </c>
    </row>
    <row r="760" spans="1:20" ht="22.5">
      <c r="A760" s="17" t="s">
        <v>350</v>
      </c>
      <c r="B760" s="73">
        <v>1</v>
      </c>
      <c r="C760" s="67"/>
      <c r="D760" s="212">
        <v>12</v>
      </c>
      <c r="E760" s="218">
        <f t="shared" si="22"/>
        <v>60000</v>
      </c>
      <c r="F760" s="60" t="s">
        <v>166</v>
      </c>
      <c r="G760" s="66"/>
      <c r="H760" s="66"/>
      <c r="I760" s="66"/>
      <c r="J760" s="66"/>
      <c r="K760" s="66"/>
      <c r="L760" s="66"/>
      <c r="M760" s="66"/>
      <c r="N760" s="66"/>
      <c r="O760" s="66"/>
      <c r="P760" s="64">
        <v>5000</v>
      </c>
      <c r="Q760" s="66"/>
      <c r="R760" s="66"/>
      <c r="S760" s="214"/>
      <c r="T760" s="219">
        <f t="shared" si="23"/>
        <v>5000</v>
      </c>
    </row>
    <row r="761" spans="1:20" ht="22.5">
      <c r="A761" s="17" t="s">
        <v>351</v>
      </c>
      <c r="B761" s="73">
        <v>1</v>
      </c>
      <c r="C761" s="67"/>
      <c r="D761" s="212">
        <v>12</v>
      </c>
      <c r="E761" s="218">
        <f t="shared" si="22"/>
        <v>60000</v>
      </c>
      <c r="F761" s="60" t="s">
        <v>166</v>
      </c>
      <c r="G761" s="66"/>
      <c r="H761" s="66"/>
      <c r="I761" s="66"/>
      <c r="J761" s="66"/>
      <c r="K761" s="66"/>
      <c r="L761" s="66"/>
      <c r="M761" s="66"/>
      <c r="N761" s="66"/>
      <c r="O761" s="66"/>
      <c r="P761" s="64">
        <v>5000</v>
      </c>
      <c r="Q761" s="66"/>
      <c r="R761" s="66"/>
      <c r="S761" s="214"/>
      <c r="T761" s="219">
        <f t="shared" si="23"/>
        <v>5000</v>
      </c>
    </row>
    <row r="762" spans="1:20" ht="22.5">
      <c r="A762" s="17" t="s">
        <v>352</v>
      </c>
      <c r="B762" s="73">
        <v>1</v>
      </c>
      <c r="C762" s="67"/>
      <c r="D762" s="212">
        <v>12</v>
      </c>
      <c r="E762" s="218">
        <f t="shared" si="22"/>
        <v>80400</v>
      </c>
      <c r="F762" s="60" t="s">
        <v>166</v>
      </c>
      <c r="G762" s="66"/>
      <c r="H762" s="66"/>
      <c r="I762" s="66"/>
      <c r="J762" s="66"/>
      <c r="K762" s="66"/>
      <c r="L762" s="66"/>
      <c r="M762" s="66"/>
      <c r="N762" s="66"/>
      <c r="O762" s="66"/>
      <c r="P762" s="64">
        <v>6700</v>
      </c>
      <c r="Q762" s="66"/>
      <c r="R762" s="66"/>
      <c r="S762" s="214"/>
      <c r="T762" s="219">
        <f t="shared" si="23"/>
        <v>6700</v>
      </c>
    </row>
    <row r="763" spans="1:20" ht="22.5">
      <c r="A763" s="17" t="s">
        <v>353</v>
      </c>
      <c r="B763" s="73">
        <v>1</v>
      </c>
      <c r="C763" s="67"/>
      <c r="D763" s="212">
        <v>12</v>
      </c>
      <c r="E763" s="218">
        <f t="shared" si="22"/>
        <v>234000</v>
      </c>
      <c r="F763" s="60" t="s">
        <v>166</v>
      </c>
      <c r="G763" s="66"/>
      <c r="H763" s="66"/>
      <c r="I763" s="66"/>
      <c r="J763" s="66"/>
      <c r="K763" s="66"/>
      <c r="L763" s="66"/>
      <c r="M763" s="66"/>
      <c r="N763" s="66"/>
      <c r="O763" s="66"/>
      <c r="P763" s="64">
        <v>19500</v>
      </c>
      <c r="Q763" s="66"/>
      <c r="R763" s="66"/>
      <c r="S763" s="214"/>
      <c r="T763" s="219">
        <f t="shared" si="23"/>
        <v>19500</v>
      </c>
    </row>
    <row r="764" spans="1:20" ht="22.5">
      <c r="A764" s="17" t="s">
        <v>354</v>
      </c>
      <c r="B764" s="73">
        <v>1</v>
      </c>
      <c r="C764" s="67"/>
      <c r="D764" s="212">
        <v>12</v>
      </c>
      <c r="E764" s="218">
        <f t="shared" si="22"/>
        <v>60000</v>
      </c>
      <c r="F764" s="60" t="s">
        <v>166</v>
      </c>
      <c r="G764" s="66"/>
      <c r="H764" s="66"/>
      <c r="I764" s="66"/>
      <c r="J764" s="66"/>
      <c r="K764" s="66"/>
      <c r="L764" s="66"/>
      <c r="M764" s="66"/>
      <c r="N764" s="66"/>
      <c r="O764" s="66"/>
      <c r="P764" s="64">
        <v>5000</v>
      </c>
      <c r="Q764" s="66"/>
      <c r="R764" s="66"/>
      <c r="S764" s="214"/>
      <c r="T764" s="219">
        <f t="shared" si="23"/>
        <v>5000</v>
      </c>
    </row>
    <row r="765" spans="1:20" ht="22.5">
      <c r="A765" s="17" t="s">
        <v>354</v>
      </c>
      <c r="B765" s="73">
        <v>1</v>
      </c>
      <c r="C765" s="67"/>
      <c r="D765" s="212">
        <v>12</v>
      </c>
      <c r="E765" s="218">
        <f t="shared" si="22"/>
        <v>60000</v>
      </c>
      <c r="F765" s="60" t="s">
        <v>166</v>
      </c>
      <c r="G765" s="66"/>
      <c r="H765" s="66"/>
      <c r="I765" s="66"/>
      <c r="J765" s="66"/>
      <c r="K765" s="66"/>
      <c r="L765" s="66"/>
      <c r="M765" s="66"/>
      <c r="N765" s="66"/>
      <c r="O765" s="66"/>
      <c r="P765" s="64">
        <v>5000</v>
      </c>
      <c r="Q765" s="66"/>
      <c r="R765" s="66"/>
      <c r="S765" s="214"/>
      <c r="T765" s="219">
        <f t="shared" si="23"/>
        <v>5000</v>
      </c>
    </row>
    <row r="766" spans="1:20" ht="22.5">
      <c r="A766" s="17" t="s">
        <v>355</v>
      </c>
      <c r="B766" s="73">
        <v>1</v>
      </c>
      <c r="C766" s="67"/>
      <c r="D766" s="212">
        <v>12</v>
      </c>
      <c r="E766" s="218">
        <f t="shared" si="22"/>
        <v>84000</v>
      </c>
      <c r="F766" s="60" t="s">
        <v>166</v>
      </c>
      <c r="G766" s="66"/>
      <c r="H766" s="66"/>
      <c r="I766" s="66"/>
      <c r="J766" s="66"/>
      <c r="K766" s="66"/>
      <c r="L766" s="66"/>
      <c r="M766" s="66"/>
      <c r="N766" s="66"/>
      <c r="O766" s="66"/>
      <c r="P766" s="64">
        <v>7000</v>
      </c>
      <c r="Q766" s="66"/>
      <c r="R766" s="66"/>
      <c r="S766" s="214"/>
      <c r="T766" s="219">
        <f t="shared" si="23"/>
        <v>7000</v>
      </c>
    </row>
    <row r="767" spans="1:20" ht="22.5">
      <c r="A767" s="17" t="s">
        <v>356</v>
      </c>
      <c r="B767" s="73">
        <v>1</v>
      </c>
      <c r="C767" s="67"/>
      <c r="D767" s="212">
        <v>12</v>
      </c>
      <c r="E767" s="218">
        <f t="shared" si="22"/>
        <v>144000</v>
      </c>
      <c r="F767" s="60" t="s">
        <v>166</v>
      </c>
      <c r="G767" s="66"/>
      <c r="H767" s="66"/>
      <c r="I767" s="66"/>
      <c r="J767" s="66"/>
      <c r="K767" s="66"/>
      <c r="L767" s="66"/>
      <c r="M767" s="66"/>
      <c r="N767" s="66"/>
      <c r="O767" s="66"/>
      <c r="P767" s="64">
        <v>12000</v>
      </c>
      <c r="Q767" s="66"/>
      <c r="R767" s="66"/>
      <c r="S767" s="214"/>
      <c r="T767" s="219">
        <f t="shared" si="23"/>
        <v>12000</v>
      </c>
    </row>
    <row r="768" spans="1:20" ht="33.75">
      <c r="A768" s="17" t="s">
        <v>357</v>
      </c>
      <c r="B768" s="73">
        <v>1</v>
      </c>
      <c r="C768" s="67"/>
      <c r="D768" s="212">
        <v>12</v>
      </c>
      <c r="E768" s="218">
        <f t="shared" si="22"/>
        <v>120000</v>
      </c>
      <c r="F768" s="60" t="s">
        <v>166</v>
      </c>
      <c r="G768" s="66"/>
      <c r="H768" s="66"/>
      <c r="I768" s="66"/>
      <c r="J768" s="66"/>
      <c r="K768" s="66"/>
      <c r="L768" s="66"/>
      <c r="M768" s="66"/>
      <c r="N768" s="66"/>
      <c r="O768" s="66"/>
      <c r="P768" s="64">
        <v>10000</v>
      </c>
      <c r="Q768" s="66"/>
      <c r="R768" s="66"/>
      <c r="S768" s="214"/>
      <c r="T768" s="219">
        <f t="shared" si="23"/>
        <v>10000</v>
      </c>
    </row>
    <row r="769" spans="1:20" ht="33.75">
      <c r="A769" s="17" t="s">
        <v>358</v>
      </c>
      <c r="B769" s="73">
        <v>1</v>
      </c>
      <c r="C769" s="67"/>
      <c r="D769" s="212">
        <v>12</v>
      </c>
      <c r="E769" s="218">
        <f t="shared" si="22"/>
        <v>108000</v>
      </c>
      <c r="F769" s="60" t="s">
        <v>166</v>
      </c>
      <c r="G769" s="66"/>
      <c r="H769" s="66"/>
      <c r="I769" s="66"/>
      <c r="J769" s="66"/>
      <c r="K769" s="66"/>
      <c r="L769" s="66"/>
      <c r="M769" s="66"/>
      <c r="N769" s="66"/>
      <c r="O769" s="66"/>
      <c r="P769" s="64">
        <v>9000</v>
      </c>
      <c r="Q769" s="66"/>
      <c r="R769" s="66"/>
      <c r="S769" s="214"/>
      <c r="T769" s="219">
        <f t="shared" si="23"/>
        <v>9000</v>
      </c>
    </row>
    <row r="770" spans="1:20" ht="22.5">
      <c r="A770" s="17" t="s">
        <v>359</v>
      </c>
      <c r="B770" s="73">
        <v>1</v>
      </c>
      <c r="C770" s="67"/>
      <c r="D770" s="212">
        <v>12</v>
      </c>
      <c r="E770" s="218">
        <f t="shared" si="22"/>
        <v>144000</v>
      </c>
      <c r="F770" s="60" t="s">
        <v>166</v>
      </c>
      <c r="G770" s="66"/>
      <c r="H770" s="66"/>
      <c r="I770" s="66"/>
      <c r="J770" s="66"/>
      <c r="K770" s="66"/>
      <c r="L770" s="66"/>
      <c r="M770" s="66"/>
      <c r="N770" s="66"/>
      <c r="O770" s="66"/>
      <c r="P770" s="64">
        <v>12000</v>
      </c>
      <c r="Q770" s="66"/>
      <c r="R770" s="66"/>
      <c r="S770" s="214"/>
      <c r="T770" s="219">
        <f t="shared" si="23"/>
        <v>12000</v>
      </c>
    </row>
    <row r="771" spans="1:20" ht="22.5">
      <c r="A771" s="17" t="s">
        <v>359</v>
      </c>
      <c r="B771" s="73">
        <v>1</v>
      </c>
      <c r="C771" s="67"/>
      <c r="D771" s="212">
        <v>12</v>
      </c>
      <c r="E771" s="218">
        <f t="shared" si="22"/>
        <v>60000</v>
      </c>
      <c r="F771" s="60" t="s">
        <v>166</v>
      </c>
      <c r="G771" s="66"/>
      <c r="H771" s="66"/>
      <c r="I771" s="66"/>
      <c r="J771" s="66"/>
      <c r="K771" s="66"/>
      <c r="L771" s="66"/>
      <c r="M771" s="66"/>
      <c r="N771" s="66"/>
      <c r="O771" s="66"/>
      <c r="P771" s="64">
        <v>5000</v>
      </c>
      <c r="Q771" s="66"/>
      <c r="R771" s="66"/>
      <c r="S771" s="214"/>
      <c r="T771" s="219">
        <f t="shared" si="23"/>
        <v>5000</v>
      </c>
    </row>
    <row r="772" spans="1:20" ht="22.5">
      <c r="A772" s="17" t="s">
        <v>359</v>
      </c>
      <c r="B772" s="73">
        <v>1</v>
      </c>
      <c r="C772" s="67"/>
      <c r="D772" s="212">
        <v>12</v>
      </c>
      <c r="E772" s="218">
        <f t="shared" si="22"/>
        <v>96000</v>
      </c>
      <c r="F772" s="60" t="s">
        <v>166</v>
      </c>
      <c r="G772" s="66"/>
      <c r="H772" s="66"/>
      <c r="I772" s="66"/>
      <c r="J772" s="66"/>
      <c r="K772" s="66"/>
      <c r="L772" s="66"/>
      <c r="M772" s="66"/>
      <c r="N772" s="66"/>
      <c r="O772" s="66"/>
      <c r="P772" s="64">
        <v>8000</v>
      </c>
      <c r="Q772" s="66"/>
      <c r="R772" s="66"/>
      <c r="S772" s="214"/>
      <c r="T772" s="219">
        <f t="shared" si="23"/>
        <v>8000</v>
      </c>
    </row>
    <row r="773" spans="1:20" ht="22.5">
      <c r="A773" s="17" t="s">
        <v>359</v>
      </c>
      <c r="B773" s="73">
        <v>1</v>
      </c>
      <c r="C773" s="67"/>
      <c r="D773" s="212">
        <v>12</v>
      </c>
      <c r="E773" s="218">
        <f t="shared" si="22"/>
        <v>78000</v>
      </c>
      <c r="F773" s="60" t="s">
        <v>166</v>
      </c>
      <c r="G773" s="66"/>
      <c r="H773" s="66"/>
      <c r="I773" s="66"/>
      <c r="J773" s="66"/>
      <c r="K773" s="66"/>
      <c r="L773" s="66"/>
      <c r="M773" s="66"/>
      <c r="N773" s="66"/>
      <c r="O773" s="66"/>
      <c r="P773" s="64">
        <v>6500</v>
      </c>
      <c r="Q773" s="66"/>
      <c r="R773" s="66"/>
      <c r="S773" s="214"/>
      <c r="T773" s="219">
        <f t="shared" si="23"/>
        <v>6500</v>
      </c>
    </row>
    <row r="774" spans="1:20" ht="22.5">
      <c r="A774" s="17" t="s">
        <v>360</v>
      </c>
      <c r="B774" s="73">
        <v>1</v>
      </c>
      <c r="C774" s="67"/>
      <c r="D774" s="212">
        <v>12</v>
      </c>
      <c r="E774" s="218">
        <f t="shared" si="22"/>
        <v>48000</v>
      </c>
      <c r="F774" s="60" t="s">
        <v>166</v>
      </c>
      <c r="G774" s="66"/>
      <c r="H774" s="66"/>
      <c r="I774" s="66"/>
      <c r="J774" s="66"/>
      <c r="K774" s="66"/>
      <c r="L774" s="66"/>
      <c r="M774" s="66"/>
      <c r="N774" s="66"/>
      <c r="O774" s="66"/>
      <c r="P774" s="64">
        <v>4000</v>
      </c>
      <c r="Q774" s="66"/>
      <c r="R774" s="66"/>
      <c r="S774" s="214"/>
      <c r="T774" s="219">
        <f t="shared" si="23"/>
        <v>4000</v>
      </c>
    </row>
    <row r="775" spans="1:20" ht="22.5">
      <c r="A775" s="17" t="s">
        <v>360</v>
      </c>
      <c r="B775" s="73">
        <v>1</v>
      </c>
      <c r="C775" s="67"/>
      <c r="D775" s="212">
        <v>12</v>
      </c>
      <c r="E775" s="218">
        <f t="shared" ref="E775:E838" si="24">T775*12</f>
        <v>54000</v>
      </c>
      <c r="F775" s="60" t="s">
        <v>166</v>
      </c>
      <c r="G775" s="66"/>
      <c r="H775" s="66"/>
      <c r="I775" s="66"/>
      <c r="J775" s="66"/>
      <c r="K775" s="66"/>
      <c r="L775" s="66"/>
      <c r="M775" s="66"/>
      <c r="N775" s="66"/>
      <c r="O775" s="66"/>
      <c r="P775" s="64">
        <v>4500</v>
      </c>
      <c r="Q775" s="66"/>
      <c r="R775" s="66"/>
      <c r="S775" s="214"/>
      <c r="T775" s="219">
        <f t="shared" si="23"/>
        <v>4500</v>
      </c>
    </row>
    <row r="776" spans="1:20" ht="22.5">
      <c r="A776" s="17" t="s">
        <v>361</v>
      </c>
      <c r="B776" s="73">
        <v>1</v>
      </c>
      <c r="C776" s="67"/>
      <c r="D776" s="212">
        <v>12</v>
      </c>
      <c r="E776" s="218">
        <f t="shared" si="24"/>
        <v>144000</v>
      </c>
      <c r="F776" s="60" t="s">
        <v>166</v>
      </c>
      <c r="G776" s="66"/>
      <c r="H776" s="66"/>
      <c r="I776" s="66"/>
      <c r="J776" s="66"/>
      <c r="K776" s="66"/>
      <c r="L776" s="66"/>
      <c r="M776" s="66"/>
      <c r="N776" s="66"/>
      <c r="O776" s="66"/>
      <c r="P776" s="64">
        <v>12000</v>
      </c>
      <c r="Q776" s="66"/>
      <c r="R776" s="66"/>
      <c r="S776" s="214"/>
      <c r="T776" s="219">
        <f t="shared" ref="T776:T839" si="25">SUM(G776:S776)</f>
        <v>12000</v>
      </c>
    </row>
    <row r="777" spans="1:20" ht="22.5">
      <c r="A777" s="17" t="s">
        <v>362</v>
      </c>
      <c r="B777" s="73">
        <v>1</v>
      </c>
      <c r="C777" s="67"/>
      <c r="D777" s="212">
        <v>12</v>
      </c>
      <c r="E777" s="218">
        <f t="shared" si="24"/>
        <v>60000</v>
      </c>
      <c r="F777" s="60" t="s">
        <v>166</v>
      </c>
      <c r="G777" s="66"/>
      <c r="H777" s="66"/>
      <c r="I777" s="66"/>
      <c r="J777" s="66"/>
      <c r="K777" s="66"/>
      <c r="L777" s="66"/>
      <c r="M777" s="66"/>
      <c r="N777" s="66"/>
      <c r="O777" s="66"/>
      <c r="P777" s="64">
        <v>5000</v>
      </c>
      <c r="Q777" s="66"/>
      <c r="R777" s="66"/>
      <c r="S777" s="214"/>
      <c r="T777" s="219">
        <f t="shared" si="25"/>
        <v>5000</v>
      </c>
    </row>
    <row r="778" spans="1:20" ht="22.5">
      <c r="A778" s="17" t="s">
        <v>363</v>
      </c>
      <c r="B778" s="73">
        <v>1</v>
      </c>
      <c r="C778" s="67"/>
      <c r="D778" s="212">
        <v>12</v>
      </c>
      <c r="E778" s="218">
        <f t="shared" si="24"/>
        <v>108000</v>
      </c>
      <c r="F778" s="60" t="s">
        <v>166</v>
      </c>
      <c r="G778" s="66"/>
      <c r="H778" s="66"/>
      <c r="I778" s="66"/>
      <c r="J778" s="66"/>
      <c r="K778" s="66"/>
      <c r="L778" s="66"/>
      <c r="M778" s="66"/>
      <c r="N778" s="66"/>
      <c r="O778" s="66"/>
      <c r="P778" s="64">
        <v>9000</v>
      </c>
      <c r="Q778" s="66"/>
      <c r="R778" s="66"/>
      <c r="S778" s="214"/>
      <c r="T778" s="219">
        <f t="shared" si="25"/>
        <v>9000</v>
      </c>
    </row>
    <row r="779" spans="1:20" ht="22.5">
      <c r="A779" s="17" t="s">
        <v>364</v>
      </c>
      <c r="B779" s="73">
        <v>1</v>
      </c>
      <c r="C779" s="67"/>
      <c r="D779" s="212">
        <v>12</v>
      </c>
      <c r="E779" s="218">
        <f t="shared" si="24"/>
        <v>60000</v>
      </c>
      <c r="F779" s="60" t="s">
        <v>166</v>
      </c>
      <c r="G779" s="66"/>
      <c r="H779" s="66"/>
      <c r="I779" s="66"/>
      <c r="J779" s="66"/>
      <c r="K779" s="66"/>
      <c r="L779" s="66"/>
      <c r="M779" s="66"/>
      <c r="N779" s="66"/>
      <c r="O779" s="66"/>
      <c r="P779" s="64">
        <v>5000</v>
      </c>
      <c r="Q779" s="66"/>
      <c r="R779" s="66"/>
      <c r="S779" s="214"/>
      <c r="T779" s="219">
        <f t="shared" si="25"/>
        <v>5000</v>
      </c>
    </row>
    <row r="780" spans="1:20" ht="22.5">
      <c r="A780" s="17" t="s">
        <v>365</v>
      </c>
      <c r="B780" s="73">
        <v>1</v>
      </c>
      <c r="C780" s="67"/>
      <c r="D780" s="212">
        <v>12</v>
      </c>
      <c r="E780" s="218">
        <f t="shared" si="24"/>
        <v>96000</v>
      </c>
      <c r="F780" s="60" t="s">
        <v>166</v>
      </c>
      <c r="G780" s="66"/>
      <c r="H780" s="66"/>
      <c r="I780" s="66"/>
      <c r="J780" s="66"/>
      <c r="K780" s="66"/>
      <c r="L780" s="66"/>
      <c r="M780" s="66"/>
      <c r="N780" s="66"/>
      <c r="O780" s="66"/>
      <c r="P780" s="64">
        <v>8000</v>
      </c>
      <c r="Q780" s="66"/>
      <c r="R780" s="66"/>
      <c r="S780" s="214"/>
      <c r="T780" s="219">
        <f t="shared" si="25"/>
        <v>8000</v>
      </c>
    </row>
    <row r="781" spans="1:20" ht="22.5">
      <c r="A781" s="17" t="s">
        <v>364</v>
      </c>
      <c r="B781" s="73">
        <v>1</v>
      </c>
      <c r="C781" s="67"/>
      <c r="D781" s="212">
        <v>12</v>
      </c>
      <c r="E781" s="218">
        <f t="shared" si="24"/>
        <v>48000</v>
      </c>
      <c r="F781" s="60" t="s">
        <v>166</v>
      </c>
      <c r="G781" s="66"/>
      <c r="H781" s="66"/>
      <c r="I781" s="66"/>
      <c r="J781" s="66"/>
      <c r="K781" s="66"/>
      <c r="L781" s="66"/>
      <c r="M781" s="66"/>
      <c r="N781" s="66"/>
      <c r="O781" s="66"/>
      <c r="P781" s="64">
        <v>4000</v>
      </c>
      <c r="Q781" s="66"/>
      <c r="R781" s="66"/>
      <c r="S781" s="214"/>
      <c r="T781" s="219">
        <f t="shared" si="25"/>
        <v>4000</v>
      </c>
    </row>
    <row r="782" spans="1:20" ht="22.5">
      <c r="A782" s="17" t="s">
        <v>366</v>
      </c>
      <c r="B782" s="73">
        <v>1</v>
      </c>
      <c r="C782" s="67"/>
      <c r="D782" s="212">
        <v>12</v>
      </c>
      <c r="E782" s="218">
        <f t="shared" si="24"/>
        <v>24000</v>
      </c>
      <c r="F782" s="60" t="s">
        <v>166</v>
      </c>
      <c r="G782" s="66"/>
      <c r="H782" s="66"/>
      <c r="I782" s="66"/>
      <c r="J782" s="66"/>
      <c r="K782" s="66"/>
      <c r="L782" s="66"/>
      <c r="M782" s="66"/>
      <c r="N782" s="66"/>
      <c r="O782" s="66"/>
      <c r="P782" s="64">
        <v>2000</v>
      </c>
      <c r="Q782" s="66"/>
      <c r="R782" s="66"/>
      <c r="S782" s="214"/>
      <c r="T782" s="219">
        <f t="shared" si="25"/>
        <v>2000</v>
      </c>
    </row>
    <row r="783" spans="1:20" ht="22.5">
      <c r="A783" s="17" t="s">
        <v>366</v>
      </c>
      <c r="B783" s="73">
        <v>1</v>
      </c>
      <c r="C783" s="67"/>
      <c r="D783" s="212">
        <v>12</v>
      </c>
      <c r="E783" s="218">
        <f t="shared" si="24"/>
        <v>24000</v>
      </c>
      <c r="F783" s="60" t="s">
        <v>166</v>
      </c>
      <c r="G783" s="66"/>
      <c r="H783" s="66"/>
      <c r="I783" s="66"/>
      <c r="J783" s="66"/>
      <c r="K783" s="66"/>
      <c r="L783" s="66"/>
      <c r="M783" s="66"/>
      <c r="N783" s="66"/>
      <c r="O783" s="66"/>
      <c r="P783" s="64">
        <v>2000</v>
      </c>
      <c r="Q783" s="66"/>
      <c r="R783" s="66"/>
      <c r="S783" s="214"/>
      <c r="T783" s="219">
        <f t="shared" si="25"/>
        <v>2000</v>
      </c>
    </row>
    <row r="784" spans="1:20" ht="22.5">
      <c r="A784" s="17" t="s">
        <v>366</v>
      </c>
      <c r="B784" s="73">
        <v>1</v>
      </c>
      <c r="C784" s="67"/>
      <c r="D784" s="212">
        <v>12</v>
      </c>
      <c r="E784" s="218">
        <f t="shared" si="24"/>
        <v>24000</v>
      </c>
      <c r="F784" s="60" t="s">
        <v>166</v>
      </c>
      <c r="G784" s="66"/>
      <c r="H784" s="66"/>
      <c r="I784" s="66"/>
      <c r="J784" s="66"/>
      <c r="K784" s="66"/>
      <c r="L784" s="66"/>
      <c r="M784" s="66"/>
      <c r="N784" s="66"/>
      <c r="O784" s="66"/>
      <c r="P784" s="64">
        <v>2000</v>
      </c>
      <c r="Q784" s="66"/>
      <c r="R784" s="66"/>
      <c r="S784" s="214"/>
      <c r="T784" s="219">
        <f t="shared" si="25"/>
        <v>2000</v>
      </c>
    </row>
    <row r="785" spans="1:20" ht="22.5">
      <c r="A785" s="17" t="s">
        <v>366</v>
      </c>
      <c r="B785" s="73">
        <v>1</v>
      </c>
      <c r="C785" s="67"/>
      <c r="D785" s="212">
        <v>12</v>
      </c>
      <c r="E785" s="218">
        <f t="shared" si="24"/>
        <v>24000</v>
      </c>
      <c r="F785" s="60" t="s">
        <v>166</v>
      </c>
      <c r="G785" s="66"/>
      <c r="H785" s="66"/>
      <c r="I785" s="66"/>
      <c r="J785" s="66"/>
      <c r="K785" s="66"/>
      <c r="L785" s="66"/>
      <c r="M785" s="66"/>
      <c r="N785" s="66"/>
      <c r="O785" s="66"/>
      <c r="P785" s="64">
        <v>2000</v>
      </c>
      <c r="Q785" s="66"/>
      <c r="R785" s="66"/>
      <c r="S785" s="214"/>
      <c r="T785" s="219">
        <f t="shared" si="25"/>
        <v>2000</v>
      </c>
    </row>
    <row r="786" spans="1:20" ht="22.5">
      <c r="A786" s="17" t="s">
        <v>366</v>
      </c>
      <c r="B786" s="73">
        <v>1</v>
      </c>
      <c r="C786" s="67"/>
      <c r="D786" s="212">
        <v>12</v>
      </c>
      <c r="E786" s="218">
        <f t="shared" si="24"/>
        <v>24000</v>
      </c>
      <c r="F786" s="60" t="s">
        <v>166</v>
      </c>
      <c r="G786" s="66"/>
      <c r="H786" s="66"/>
      <c r="I786" s="66"/>
      <c r="J786" s="66"/>
      <c r="K786" s="66"/>
      <c r="L786" s="66"/>
      <c r="M786" s="66"/>
      <c r="N786" s="66"/>
      <c r="O786" s="66"/>
      <c r="P786" s="64">
        <v>2000</v>
      </c>
      <c r="Q786" s="66"/>
      <c r="R786" s="66"/>
      <c r="S786" s="214"/>
      <c r="T786" s="219">
        <f t="shared" si="25"/>
        <v>2000</v>
      </c>
    </row>
    <row r="787" spans="1:20" ht="22.5">
      <c r="A787" s="17" t="s">
        <v>366</v>
      </c>
      <c r="B787" s="73">
        <v>1</v>
      </c>
      <c r="C787" s="67"/>
      <c r="D787" s="212">
        <v>12</v>
      </c>
      <c r="E787" s="218">
        <f t="shared" si="24"/>
        <v>24000</v>
      </c>
      <c r="F787" s="60" t="s">
        <v>166</v>
      </c>
      <c r="G787" s="66"/>
      <c r="H787" s="66"/>
      <c r="I787" s="66"/>
      <c r="J787" s="66"/>
      <c r="K787" s="66"/>
      <c r="L787" s="66"/>
      <c r="M787" s="66"/>
      <c r="N787" s="66"/>
      <c r="O787" s="66"/>
      <c r="P787" s="64">
        <v>2000</v>
      </c>
      <c r="Q787" s="66"/>
      <c r="R787" s="66"/>
      <c r="S787" s="214"/>
      <c r="T787" s="219">
        <f t="shared" si="25"/>
        <v>2000</v>
      </c>
    </row>
    <row r="788" spans="1:20" ht="22.5">
      <c r="A788" s="17" t="s">
        <v>366</v>
      </c>
      <c r="B788" s="73">
        <v>1</v>
      </c>
      <c r="C788" s="67"/>
      <c r="D788" s="212">
        <v>12</v>
      </c>
      <c r="E788" s="218">
        <f t="shared" si="24"/>
        <v>24000</v>
      </c>
      <c r="F788" s="60" t="s">
        <v>166</v>
      </c>
      <c r="G788" s="66"/>
      <c r="H788" s="66"/>
      <c r="I788" s="66"/>
      <c r="J788" s="66"/>
      <c r="K788" s="66"/>
      <c r="L788" s="66"/>
      <c r="M788" s="66"/>
      <c r="N788" s="66"/>
      <c r="O788" s="66"/>
      <c r="P788" s="64">
        <v>2000</v>
      </c>
      <c r="Q788" s="66"/>
      <c r="R788" s="66"/>
      <c r="S788" s="214"/>
      <c r="T788" s="219">
        <f t="shared" si="25"/>
        <v>2000</v>
      </c>
    </row>
    <row r="789" spans="1:20" ht="22.5">
      <c r="A789" s="17" t="s">
        <v>366</v>
      </c>
      <c r="B789" s="73">
        <v>1</v>
      </c>
      <c r="C789" s="67"/>
      <c r="D789" s="212">
        <v>12</v>
      </c>
      <c r="E789" s="218">
        <f t="shared" si="24"/>
        <v>24000</v>
      </c>
      <c r="F789" s="60" t="s">
        <v>166</v>
      </c>
      <c r="G789" s="66"/>
      <c r="H789" s="66"/>
      <c r="I789" s="66"/>
      <c r="J789" s="66"/>
      <c r="K789" s="66"/>
      <c r="L789" s="66"/>
      <c r="M789" s="66"/>
      <c r="N789" s="66"/>
      <c r="O789" s="66"/>
      <c r="P789" s="64">
        <v>2000</v>
      </c>
      <c r="Q789" s="66"/>
      <c r="R789" s="66"/>
      <c r="S789" s="214"/>
      <c r="T789" s="219">
        <f t="shared" si="25"/>
        <v>2000</v>
      </c>
    </row>
    <row r="790" spans="1:20">
      <c r="A790" s="17" t="s">
        <v>367</v>
      </c>
      <c r="B790" s="73">
        <v>1</v>
      </c>
      <c r="C790" s="67"/>
      <c r="D790" s="212">
        <v>12</v>
      </c>
      <c r="E790" s="218">
        <f t="shared" si="24"/>
        <v>48000</v>
      </c>
      <c r="F790" s="60" t="s">
        <v>166</v>
      </c>
      <c r="G790" s="66"/>
      <c r="H790" s="66"/>
      <c r="I790" s="66"/>
      <c r="J790" s="66"/>
      <c r="K790" s="66"/>
      <c r="L790" s="66"/>
      <c r="M790" s="66"/>
      <c r="N790" s="66"/>
      <c r="O790" s="66"/>
      <c r="P790" s="64">
        <v>4000</v>
      </c>
      <c r="Q790" s="66"/>
      <c r="R790" s="66"/>
      <c r="S790" s="214"/>
      <c r="T790" s="219">
        <f t="shared" si="25"/>
        <v>4000</v>
      </c>
    </row>
    <row r="791" spans="1:20" ht="22.5">
      <c r="A791" s="17" t="s">
        <v>368</v>
      </c>
      <c r="B791" s="73">
        <v>1</v>
      </c>
      <c r="C791" s="67"/>
      <c r="D791" s="212">
        <v>12</v>
      </c>
      <c r="E791" s="218">
        <f t="shared" si="24"/>
        <v>93000</v>
      </c>
      <c r="F791" s="60" t="s">
        <v>166</v>
      </c>
      <c r="G791" s="66"/>
      <c r="H791" s="66"/>
      <c r="I791" s="66"/>
      <c r="J791" s="66"/>
      <c r="K791" s="66"/>
      <c r="L791" s="66"/>
      <c r="M791" s="66"/>
      <c r="N791" s="66"/>
      <c r="O791" s="66"/>
      <c r="P791" s="64">
        <v>7750</v>
      </c>
      <c r="Q791" s="66"/>
      <c r="R791" s="66"/>
      <c r="S791" s="214"/>
      <c r="T791" s="219">
        <f t="shared" si="25"/>
        <v>7750</v>
      </c>
    </row>
    <row r="792" spans="1:20" ht="33.75">
      <c r="A792" s="17" t="s">
        <v>369</v>
      </c>
      <c r="B792" s="73">
        <v>1</v>
      </c>
      <c r="C792" s="67"/>
      <c r="D792" s="212">
        <v>12</v>
      </c>
      <c r="E792" s="218">
        <f t="shared" si="24"/>
        <v>84000</v>
      </c>
      <c r="F792" s="60" t="s">
        <v>166</v>
      </c>
      <c r="G792" s="66"/>
      <c r="H792" s="66"/>
      <c r="I792" s="66"/>
      <c r="J792" s="66"/>
      <c r="K792" s="66"/>
      <c r="L792" s="66"/>
      <c r="M792" s="66"/>
      <c r="N792" s="66"/>
      <c r="O792" s="66"/>
      <c r="P792" s="64">
        <v>7000</v>
      </c>
      <c r="Q792" s="66"/>
      <c r="R792" s="66"/>
      <c r="S792" s="214"/>
      <c r="T792" s="219">
        <f t="shared" si="25"/>
        <v>7000</v>
      </c>
    </row>
    <row r="793" spans="1:20" ht="22.5">
      <c r="A793" s="17" t="s">
        <v>368</v>
      </c>
      <c r="B793" s="73">
        <v>1</v>
      </c>
      <c r="C793" s="67"/>
      <c r="D793" s="212">
        <v>12</v>
      </c>
      <c r="E793" s="218">
        <f t="shared" si="24"/>
        <v>60000</v>
      </c>
      <c r="F793" s="60" t="s">
        <v>166</v>
      </c>
      <c r="G793" s="66"/>
      <c r="H793" s="66"/>
      <c r="I793" s="66"/>
      <c r="J793" s="66"/>
      <c r="K793" s="66"/>
      <c r="L793" s="66"/>
      <c r="M793" s="66"/>
      <c r="N793" s="66"/>
      <c r="O793" s="66"/>
      <c r="P793" s="64">
        <v>5000</v>
      </c>
      <c r="Q793" s="66"/>
      <c r="R793" s="66"/>
      <c r="S793" s="214"/>
      <c r="T793" s="219">
        <f t="shared" si="25"/>
        <v>5000</v>
      </c>
    </row>
    <row r="794" spans="1:20" ht="22.5">
      <c r="A794" s="17" t="s">
        <v>368</v>
      </c>
      <c r="B794" s="73">
        <v>1</v>
      </c>
      <c r="C794" s="67"/>
      <c r="D794" s="212">
        <v>12</v>
      </c>
      <c r="E794" s="218">
        <f t="shared" si="24"/>
        <v>78000</v>
      </c>
      <c r="F794" s="60" t="s">
        <v>166</v>
      </c>
      <c r="G794" s="66"/>
      <c r="H794" s="66"/>
      <c r="I794" s="66"/>
      <c r="J794" s="66"/>
      <c r="K794" s="66"/>
      <c r="L794" s="66"/>
      <c r="M794" s="66"/>
      <c r="N794" s="66"/>
      <c r="O794" s="66"/>
      <c r="P794" s="64">
        <v>6500</v>
      </c>
      <c r="Q794" s="66"/>
      <c r="R794" s="66"/>
      <c r="S794" s="214"/>
      <c r="T794" s="219">
        <f t="shared" si="25"/>
        <v>6500</v>
      </c>
    </row>
    <row r="795" spans="1:20" ht="22.5">
      <c r="A795" s="17" t="s">
        <v>368</v>
      </c>
      <c r="B795" s="73">
        <v>1</v>
      </c>
      <c r="C795" s="67"/>
      <c r="D795" s="212">
        <v>12</v>
      </c>
      <c r="E795" s="218">
        <f t="shared" si="24"/>
        <v>78000</v>
      </c>
      <c r="F795" s="60" t="s">
        <v>166</v>
      </c>
      <c r="G795" s="66"/>
      <c r="H795" s="66"/>
      <c r="I795" s="66"/>
      <c r="J795" s="66"/>
      <c r="K795" s="66"/>
      <c r="L795" s="66"/>
      <c r="M795" s="66"/>
      <c r="N795" s="66"/>
      <c r="O795" s="66"/>
      <c r="P795" s="64">
        <v>6500</v>
      </c>
      <c r="Q795" s="66"/>
      <c r="R795" s="66"/>
      <c r="S795" s="214"/>
      <c r="T795" s="219">
        <f t="shared" si="25"/>
        <v>6500</v>
      </c>
    </row>
    <row r="796" spans="1:20" ht="22.5">
      <c r="A796" s="17" t="s">
        <v>368</v>
      </c>
      <c r="B796" s="73">
        <v>1</v>
      </c>
      <c r="C796" s="67"/>
      <c r="D796" s="212">
        <v>12</v>
      </c>
      <c r="E796" s="218">
        <f t="shared" si="24"/>
        <v>84000</v>
      </c>
      <c r="F796" s="60" t="s">
        <v>166</v>
      </c>
      <c r="G796" s="66"/>
      <c r="H796" s="66"/>
      <c r="I796" s="66"/>
      <c r="J796" s="66"/>
      <c r="K796" s="66"/>
      <c r="L796" s="66"/>
      <c r="M796" s="66"/>
      <c r="N796" s="66"/>
      <c r="O796" s="66"/>
      <c r="P796" s="64">
        <v>7000</v>
      </c>
      <c r="Q796" s="66"/>
      <c r="R796" s="66"/>
      <c r="S796" s="214"/>
      <c r="T796" s="219">
        <f t="shared" si="25"/>
        <v>7000</v>
      </c>
    </row>
    <row r="797" spans="1:20" ht="22.5">
      <c r="A797" s="17" t="s">
        <v>368</v>
      </c>
      <c r="B797" s="73">
        <v>1</v>
      </c>
      <c r="C797" s="67"/>
      <c r="D797" s="212">
        <v>12</v>
      </c>
      <c r="E797" s="218">
        <f t="shared" si="24"/>
        <v>84000</v>
      </c>
      <c r="F797" s="60" t="s">
        <v>166</v>
      </c>
      <c r="G797" s="66"/>
      <c r="H797" s="66"/>
      <c r="I797" s="66"/>
      <c r="J797" s="66"/>
      <c r="K797" s="66"/>
      <c r="L797" s="66"/>
      <c r="M797" s="66"/>
      <c r="N797" s="66"/>
      <c r="O797" s="66"/>
      <c r="P797" s="64">
        <v>7000</v>
      </c>
      <c r="Q797" s="66"/>
      <c r="R797" s="66"/>
      <c r="S797" s="214"/>
      <c r="T797" s="219">
        <f t="shared" si="25"/>
        <v>7000</v>
      </c>
    </row>
    <row r="798" spans="1:20" ht="22.5">
      <c r="A798" s="17" t="s">
        <v>370</v>
      </c>
      <c r="B798" s="73">
        <v>1</v>
      </c>
      <c r="C798" s="67"/>
      <c r="D798" s="212">
        <v>12</v>
      </c>
      <c r="E798" s="218">
        <f t="shared" si="24"/>
        <v>72000</v>
      </c>
      <c r="F798" s="60" t="s">
        <v>166</v>
      </c>
      <c r="G798" s="66"/>
      <c r="H798" s="66"/>
      <c r="I798" s="66"/>
      <c r="J798" s="66"/>
      <c r="K798" s="66"/>
      <c r="L798" s="66"/>
      <c r="M798" s="66"/>
      <c r="N798" s="66"/>
      <c r="O798" s="66"/>
      <c r="P798" s="64">
        <v>6000</v>
      </c>
      <c r="Q798" s="66"/>
      <c r="R798" s="66"/>
      <c r="S798" s="214"/>
      <c r="T798" s="219">
        <f t="shared" si="25"/>
        <v>6000</v>
      </c>
    </row>
    <row r="799" spans="1:20" ht="33.75">
      <c r="A799" s="17" t="s">
        <v>371</v>
      </c>
      <c r="B799" s="73">
        <v>1</v>
      </c>
      <c r="C799" s="67"/>
      <c r="D799" s="212">
        <v>12</v>
      </c>
      <c r="E799" s="218">
        <f t="shared" si="24"/>
        <v>72000</v>
      </c>
      <c r="F799" s="60" t="s">
        <v>166</v>
      </c>
      <c r="G799" s="66"/>
      <c r="H799" s="66"/>
      <c r="I799" s="66"/>
      <c r="J799" s="66"/>
      <c r="K799" s="66"/>
      <c r="L799" s="66"/>
      <c r="M799" s="66"/>
      <c r="N799" s="66"/>
      <c r="O799" s="66"/>
      <c r="P799" s="64">
        <v>6000</v>
      </c>
      <c r="Q799" s="66"/>
      <c r="R799" s="66"/>
      <c r="S799" s="214"/>
      <c r="T799" s="219">
        <f t="shared" si="25"/>
        <v>6000</v>
      </c>
    </row>
    <row r="800" spans="1:20" ht="33.75">
      <c r="A800" s="17" t="s">
        <v>371</v>
      </c>
      <c r="B800" s="73">
        <v>1</v>
      </c>
      <c r="C800" s="67"/>
      <c r="D800" s="212">
        <v>12</v>
      </c>
      <c r="E800" s="218">
        <f t="shared" si="24"/>
        <v>96000</v>
      </c>
      <c r="F800" s="60" t="s">
        <v>166</v>
      </c>
      <c r="G800" s="66"/>
      <c r="H800" s="66"/>
      <c r="I800" s="66"/>
      <c r="J800" s="66"/>
      <c r="K800" s="66"/>
      <c r="L800" s="66"/>
      <c r="M800" s="66"/>
      <c r="N800" s="66"/>
      <c r="O800" s="66"/>
      <c r="P800" s="64">
        <v>8000</v>
      </c>
      <c r="Q800" s="66"/>
      <c r="R800" s="66"/>
      <c r="S800" s="214"/>
      <c r="T800" s="219">
        <f t="shared" si="25"/>
        <v>8000</v>
      </c>
    </row>
    <row r="801" spans="1:20" ht="22.5">
      <c r="A801" s="17" t="s">
        <v>372</v>
      </c>
      <c r="B801" s="73">
        <v>1</v>
      </c>
      <c r="C801" s="67"/>
      <c r="D801" s="212">
        <v>12</v>
      </c>
      <c r="E801" s="218">
        <f t="shared" si="24"/>
        <v>48000</v>
      </c>
      <c r="F801" s="60" t="s">
        <v>166</v>
      </c>
      <c r="G801" s="66"/>
      <c r="H801" s="66"/>
      <c r="I801" s="66"/>
      <c r="J801" s="66"/>
      <c r="K801" s="66"/>
      <c r="L801" s="66"/>
      <c r="M801" s="66"/>
      <c r="N801" s="66"/>
      <c r="O801" s="66"/>
      <c r="P801" s="64">
        <v>4000</v>
      </c>
      <c r="Q801" s="66"/>
      <c r="R801" s="66"/>
      <c r="S801" s="214"/>
      <c r="T801" s="219">
        <f t="shared" si="25"/>
        <v>4000</v>
      </c>
    </row>
    <row r="802" spans="1:20" ht="22.5">
      <c r="A802" s="17" t="s">
        <v>208</v>
      </c>
      <c r="B802" s="73">
        <v>1</v>
      </c>
      <c r="C802" s="67"/>
      <c r="D802" s="212">
        <v>12</v>
      </c>
      <c r="E802" s="218">
        <f t="shared" si="24"/>
        <v>36000</v>
      </c>
      <c r="F802" s="60" t="s">
        <v>166</v>
      </c>
      <c r="G802" s="66"/>
      <c r="H802" s="66"/>
      <c r="I802" s="66"/>
      <c r="J802" s="66"/>
      <c r="K802" s="66"/>
      <c r="L802" s="66"/>
      <c r="M802" s="66"/>
      <c r="N802" s="66"/>
      <c r="O802" s="66"/>
      <c r="P802" s="64">
        <v>3000</v>
      </c>
      <c r="Q802" s="66"/>
      <c r="R802" s="66"/>
      <c r="S802" s="214"/>
      <c r="T802" s="219">
        <f t="shared" si="25"/>
        <v>3000</v>
      </c>
    </row>
    <row r="803" spans="1:20" ht="22.5">
      <c r="A803" s="17" t="s">
        <v>370</v>
      </c>
      <c r="B803" s="73">
        <v>1</v>
      </c>
      <c r="C803" s="67"/>
      <c r="D803" s="212">
        <v>12</v>
      </c>
      <c r="E803" s="218">
        <f t="shared" si="24"/>
        <v>96000</v>
      </c>
      <c r="F803" s="60" t="s">
        <v>166</v>
      </c>
      <c r="G803" s="66"/>
      <c r="H803" s="66"/>
      <c r="I803" s="66"/>
      <c r="J803" s="66"/>
      <c r="K803" s="66"/>
      <c r="L803" s="66"/>
      <c r="M803" s="66"/>
      <c r="N803" s="66"/>
      <c r="O803" s="66"/>
      <c r="P803" s="64">
        <v>8000</v>
      </c>
      <c r="Q803" s="66"/>
      <c r="R803" s="66"/>
      <c r="S803" s="214"/>
      <c r="T803" s="219">
        <f t="shared" si="25"/>
        <v>8000</v>
      </c>
    </row>
    <row r="804" spans="1:20" ht="22.5">
      <c r="A804" s="17" t="s">
        <v>373</v>
      </c>
      <c r="B804" s="73">
        <v>1</v>
      </c>
      <c r="C804" s="67"/>
      <c r="D804" s="212">
        <v>12</v>
      </c>
      <c r="E804" s="218">
        <f t="shared" si="24"/>
        <v>36000</v>
      </c>
      <c r="F804" s="60" t="s">
        <v>166</v>
      </c>
      <c r="G804" s="66"/>
      <c r="H804" s="66"/>
      <c r="I804" s="66"/>
      <c r="J804" s="66"/>
      <c r="K804" s="66"/>
      <c r="L804" s="66"/>
      <c r="M804" s="66"/>
      <c r="N804" s="66"/>
      <c r="O804" s="66"/>
      <c r="P804" s="64">
        <v>3000</v>
      </c>
      <c r="Q804" s="66"/>
      <c r="R804" s="66"/>
      <c r="S804" s="214"/>
      <c r="T804" s="219">
        <f t="shared" si="25"/>
        <v>3000</v>
      </c>
    </row>
    <row r="805" spans="1:20" ht="45">
      <c r="A805" s="17" t="s">
        <v>374</v>
      </c>
      <c r="B805" s="73">
        <v>1</v>
      </c>
      <c r="C805" s="67"/>
      <c r="D805" s="212">
        <v>12</v>
      </c>
      <c r="E805" s="218">
        <f t="shared" si="24"/>
        <v>72000</v>
      </c>
      <c r="F805" s="60" t="s">
        <v>166</v>
      </c>
      <c r="G805" s="66"/>
      <c r="H805" s="66"/>
      <c r="I805" s="66"/>
      <c r="J805" s="66"/>
      <c r="K805" s="66"/>
      <c r="L805" s="66"/>
      <c r="M805" s="66"/>
      <c r="N805" s="66"/>
      <c r="O805" s="66"/>
      <c r="P805" s="64">
        <v>6000</v>
      </c>
      <c r="Q805" s="66"/>
      <c r="R805" s="66"/>
      <c r="S805" s="214"/>
      <c r="T805" s="219">
        <f t="shared" si="25"/>
        <v>6000</v>
      </c>
    </row>
    <row r="806" spans="1:20" ht="33.75">
      <c r="A806" s="17" t="s">
        <v>375</v>
      </c>
      <c r="B806" s="73">
        <v>1</v>
      </c>
      <c r="C806" s="67"/>
      <c r="D806" s="212">
        <v>12</v>
      </c>
      <c r="E806" s="218">
        <f t="shared" si="24"/>
        <v>216000</v>
      </c>
      <c r="F806" s="60" t="s">
        <v>166</v>
      </c>
      <c r="G806" s="66"/>
      <c r="H806" s="66"/>
      <c r="I806" s="66"/>
      <c r="J806" s="66"/>
      <c r="K806" s="66"/>
      <c r="L806" s="66"/>
      <c r="M806" s="66"/>
      <c r="N806" s="66"/>
      <c r="O806" s="66"/>
      <c r="P806" s="64">
        <v>18000</v>
      </c>
      <c r="Q806" s="66"/>
      <c r="R806" s="66"/>
      <c r="S806" s="214"/>
      <c r="T806" s="219">
        <f t="shared" si="25"/>
        <v>18000</v>
      </c>
    </row>
    <row r="807" spans="1:20" ht="22.5">
      <c r="A807" s="17" t="s">
        <v>376</v>
      </c>
      <c r="B807" s="73">
        <v>1</v>
      </c>
      <c r="C807" s="67"/>
      <c r="D807" s="212">
        <v>12</v>
      </c>
      <c r="E807" s="218">
        <f t="shared" si="24"/>
        <v>36000</v>
      </c>
      <c r="F807" s="60" t="s">
        <v>166</v>
      </c>
      <c r="G807" s="66"/>
      <c r="H807" s="66"/>
      <c r="I807" s="66"/>
      <c r="J807" s="66"/>
      <c r="K807" s="66"/>
      <c r="L807" s="66"/>
      <c r="M807" s="66"/>
      <c r="N807" s="66"/>
      <c r="O807" s="66"/>
      <c r="P807" s="64">
        <v>3000</v>
      </c>
      <c r="Q807" s="66"/>
      <c r="R807" s="66"/>
      <c r="S807" s="214"/>
      <c r="T807" s="219">
        <f t="shared" si="25"/>
        <v>3000</v>
      </c>
    </row>
    <row r="808" spans="1:20" ht="22.5">
      <c r="A808" s="17" t="s">
        <v>376</v>
      </c>
      <c r="B808" s="73">
        <v>1</v>
      </c>
      <c r="C808" s="67"/>
      <c r="D808" s="212">
        <v>12</v>
      </c>
      <c r="E808" s="218">
        <f t="shared" si="24"/>
        <v>36000</v>
      </c>
      <c r="F808" s="60" t="s">
        <v>166</v>
      </c>
      <c r="G808" s="66"/>
      <c r="H808" s="66"/>
      <c r="I808" s="66"/>
      <c r="J808" s="66"/>
      <c r="K808" s="66"/>
      <c r="L808" s="66"/>
      <c r="M808" s="66"/>
      <c r="N808" s="66"/>
      <c r="O808" s="66"/>
      <c r="P808" s="64">
        <v>3000</v>
      </c>
      <c r="Q808" s="66"/>
      <c r="R808" s="66"/>
      <c r="S808" s="214"/>
      <c r="T808" s="219">
        <f t="shared" si="25"/>
        <v>3000</v>
      </c>
    </row>
    <row r="809" spans="1:20" ht="33.75">
      <c r="A809" s="17" t="s">
        <v>377</v>
      </c>
      <c r="B809" s="73">
        <v>1</v>
      </c>
      <c r="C809" s="67"/>
      <c r="D809" s="212">
        <v>12</v>
      </c>
      <c r="E809" s="218">
        <f t="shared" si="24"/>
        <v>48000</v>
      </c>
      <c r="F809" s="60" t="s">
        <v>166</v>
      </c>
      <c r="G809" s="66"/>
      <c r="H809" s="66"/>
      <c r="I809" s="66"/>
      <c r="J809" s="66"/>
      <c r="K809" s="66"/>
      <c r="L809" s="66"/>
      <c r="M809" s="66"/>
      <c r="N809" s="66"/>
      <c r="O809" s="66"/>
      <c r="P809" s="64">
        <v>4000</v>
      </c>
      <c r="Q809" s="66"/>
      <c r="R809" s="66"/>
      <c r="S809" s="214"/>
      <c r="T809" s="219">
        <f t="shared" si="25"/>
        <v>4000</v>
      </c>
    </row>
    <row r="810" spans="1:20" ht="33.75">
      <c r="A810" s="17" t="s">
        <v>377</v>
      </c>
      <c r="B810" s="73">
        <v>1</v>
      </c>
      <c r="C810" s="67"/>
      <c r="D810" s="212">
        <v>12</v>
      </c>
      <c r="E810" s="218">
        <f t="shared" si="24"/>
        <v>48000</v>
      </c>
      <c r="F810" s="60" t="s">
        <v>166</v>
      </c>
      <c r="G810" s="66"/>
      <c r="H810" s="66"/>
      <c r="I810" s="66"/>
      <c r="J810" s="66"/>
      <c r="K810" s="66"/>
      <c r="L810" s="66"/>
      <c r="M810" s="66"/>
      <c r="N810" s="66"/>
      <c r="O810" s="66"/>
      <c r="P810" s="64">
        <v>4000</v>
      </c>
      <c r="Q810" s="66"/>
      <c r="R810" s="66"/>
      <c r="S810" s="214"/>
      <c r="T810" s="219">
        <f t="shared" si="25"/>
        <v>4000</v>
      </c>
    </row>
    <row r="811" spans="1:20" ht="33.75">
      <c r="A811" s="17" t="s">
        <v>378</v>
      </c>
      <c r="B811" s="73">
        <v>1</v>
      </c>
      <c r="C811" s="67"/>
      <c r="D811" s="212">
        <v>12</v>
      </c>
      <c r="E811" s="218">
        <f t="shared" si="24"/>
        <v>42000</v>
      </c>
      <c r="F811" s="60" t="s">
        <v>166</v>
      </c>
      <c r="G811" s="66"/>
      <c r="H811" s="66"/>
      <c r="I811" s="66"/>
      <c r="J811" s="66"/>
      <c r="K811" s="66"/>
      <c r="L811" s="66"/>
      <c r="M811" s="66"/>
      <c r="N811" s="66"/>
      <c r="O811" s="66"/>
      <c r="P811" s="64">
        <v>3500</v>
      </c>
      <c r="Q811" s="66"/>
      <c r="R811" s="66"/>
      <c r="S811" s="214"/>
      <c r="T811" s="219">
        <f t="shared" si="25"/>
        <v>3500</v>
      </c>
    </row>
    <row r="812" spans="1:20" ht="33.75">
      <c r="A812" s="17" t="s">
        <v>379</v>
      </c>
      <c r="B812" s="73">
        <v>1</v>
      </c>
      <c r="C812" s="67"/>
      <c r="D812" s="212">
        <v>12</v>
      </c>
      <c r="E812" s="218">
        <f t="shared" si="24"/>
        <v>42000</v>
      </c>
      <c r="F812" s="60" t="s">
        <v>166</v>
      </c>
      <c r="G812" s="66"/>
      <c r="H812" s="66"/>
      <c r="I812" s="66"/>
      <c r="J812" s="66"/>
      <c r="K812" s="66"/>
      <c r="L812" s="66"/>
      <c r="M812" s="66"/>
      <c r="N812" s="66"/>
      <c r="O812" s="66"/>
      <c r="P812" s="64">
        <v>3500</v>
      </c>
      <c r="Q812" s="66"/>
      <c r="R812" s="66"/>
      <c r="S812" s="214"/>
      <c r="T812" s="219">
        <f t="shared" si="25"/>
        <v>3500</v>
      </c>
    </row>
    <row r="813" spans="1:20" ht="33.75">
      <c r="A813" s="17" t="s">
        <v>377</v>
      </c>
      <c r="B813" s="73">
        <v>1</v>
      </c>
      <c r="C813" s="67"/>
      <c r="D813" s="212">
        <v>12</v>
      </c>
      <c r="E813" s="218">
        <f t="shared" si="24"/>
        <v>42000</v>
      </c>
      <c r="F813" s="60" t="s">
        <v>166</v>
      </c>
      <c r="G813" s="66"/>
      <c r="H813" s="66"/>
      <c r="I813" s="66"/>
      <c r="J813" s="66"/>
      <c r="K813" s="66"/>
      <c r="L813" s="66"/>
      <c r="M813" s="66"/>
      <c r="N813" s="66"/>
      <c r="O813" s="66"/>
      <c r="P813" s="64">
        <v>3500</v>
      </c>
      <c r="Q813" s="66"/>
      <c r="R813" s="66"/>
      <c r="S813" s="214"/>
      <c r="T813" s="219">
        <f t="shared" si="25"/>
        <v>3500</v>
      </c>
    </row>
    <row r="814" spans="1:20" ht="33.75">
      <c r="A814" s="17" t="s">
        <v>380</v>
      </c>
      <c r="B814" s="73">
        <v>1</v>
      </c>
      <c r="C814" s="67"/>
      <c r="D814" s="212">
        <v>12</v>
      </c>
      <c r="E814" s="218">
        <f t="shared" si="24"/>
        <v>60000</v>
      </c>
      <c r="F814" s="60" t="s">
        <v>166</v>
      </c>
      <c r="G814" s="66"/>
      <c r="H814" s="66"/>
      <c r="I814" s="66"/>
      <c r="J814" s="66"/>
      <c r="K814" s="66"/>
      <c r="L814" s="66"/>
      <c r="M814" s="66"/>
      <c r="N814" s="66"/>
      <c r="O814" s="66"/>
      <c r="P814" s="64">
        <v>5000</v>
      </c>
      <c r="Q814" s="66"/>
      <c r="R814" s="66"/>
      <c r="S814" s="214"/>
      <c r="T814" s="219">
        <f t="shared" si="25"/>
        <v>5000</v>
      </c>
    </row>
    <row r="815" spans="1:20" ht="33.75">
      <c r="A815" s="17" t="s">
        <v>377</v>
      </c>
      <c r="B815" s="73">
        <v>1</v>
      </c>
      <c r="C815" s="67"/>
      <c r="D815" s="212">
        <v>12</v>
      </c>
      <c r="E815" s="218">
        <f t="shared" si="24"/>
        <v>66000</v>
      </c>
      <c r="F815" s="60" t="s">
        <v>166</v>
      </c>
      <c r="G815" s="66"/>
      <c r="H815" s="66"/>
      <c r="I815" s="66"/>
      <c r="J815" s="66"/>
      <c r="K815" s="66"/>
      <c r="L815" s="66"/>
      <c r="M815" s="66"/>
      <c r="N815" s="66"/>
      <c r="O815" s="66"/>
      <c r="P815" s="64">
        <v>5500</v>
      </c>
      <c r="Q815" s="66"/>
      <c r="R815" s="66"/>
      <c r="S815" s="214"/>
      <c r="T815" s="219">
        <f t="shared" si="25"/>
        <v>5500</v>
      </c>
    </row>
    <row r="816" spans="1:20" ht="33.75">
      <c r="A816" s="17" t="s">
        <v>377</v>
      </c>
      <c r="B816" s="73">
        <v>1</v>
      </c>
      <c r="C816" s="67"/>
      <c r="D816" s="212">
        <v>12</v>
      </c>
      <c r="E816" s="218">
        <f t="shared" si="24"/>
        <v>54000</v>
      </c>
      <c r="F816" s="60" t="s">
        <v>166</v>
      </c>
      <c r="G816" s="66"/>
      <c r="H816" s="66"/>
      <c r="I816" s="66"/>
      <c r="J816" s="66"/>
      <c r="K816" s="66"/>
      <c r="L816" s="66"/>
      <c r="M816" s="66"/>
      <c r="N816" s="66"/>
      <c r="O816" s="66"/>
      <c r="P816" s="64">
        <v>4500</v>
      </c>
      <c r="Q816" s="66"/>
      <c r="R816" s="66"/>
      <c r="S816" s="214"/>
      <c r="T816" s="219">
        <f t="shared" si="25"/>
        <v>4500</v>
      </c>
    </row>
    <row r="817" spans="1:20" ht="33.75">
      <c r="A817" s="17" t="s">
        <v>381</v>
      </c>
      <c r="B817" s="73">
        <v>1</v>
      </c>
      <c r="C817" s="67"/>
      <c r="D817" s="212">
        <v>12</v>
      </c>
      <c r="E817" s="218">
        <f t="shared" si="24"/>
        <v>54000</v>
      </c>
      <c r="F817" s="60" t="s">
        <v>166</v>
      </c>
      <c r="G817" s="66"/>
      <c r="H817" s="66"/>
      <c r="I817" s="66"/>
      <c r="J817" s="66"/>
      <c r="K817" s="66"/>
      <c r="L817" s="66"/>
      <c r="M817" s="66"/>
      <c r="N817" s="66"/>
      <c r="O817" s="66"/>
      <c r="P817" s="64">
        <v>4500</v>
      </c>
      <c r="Q817" s="66"/>
      <c r="R817" s="66"/>
      <c r="S817" s="214"/>
      <c r="T817" s="219">
        <f t="shared" si="25"/>
        <v>4500</v>
      </c>
    </row>
    <row r="818" spans="1:20" ht="33.75">
      <c r="A818" s="17" t="s">
        <v>381</v>
      </c>
      <c r="B818" s="73">
        <v>1</v>
      </c>
      <c r="C818" s="67"/>
      <c r="D818" s="212">
        <v>12</v>
      </c>
      <c r="E818" s="218">
        <f t="shared" si="24"/>
        <v>54000</v>
      </c>
      <c r="F818" s="60" t="s">
        <v>166</v>
      </c>
      <c r="G818" s="66"/>
      <c r="H818" s="66"/>
      <c r="I818" s="66"/>
      <c r="J818" s="66"/>
      <c r="K818" s="66"/>
      <c r="L818" s="66"/>
      <c r="M818" s="66"/>
      <c r="N818" s="66"/>
      <c r="O818" s="66"/>
      <c r="P818" s="64">
        <v>4500</v>
      </c>
      <c r="Q818" s="66"/>
      <c r="R818" s="66"/>
      <c r="S818" s="214"/>
      <c r="T818" s="219">
        <f t="shared" si="25"/>
        <v>4500</v>
      </c>
    </row>
    <row r="819" spans="1:20" ht="33.75">
      <c r="A819" s="17" t="s">
        <v>381</v>
      </c>
      <c r="B819" s="73">
        <v>1</v>
      </c>
      <c r="C819" s="67"/>
      <c r="D819" s="212">
        <v>12</v>
      </c>
      <c r="E819" s="218">
        <f t="shared" si="24"/>
        <v>54000</v>
      </c>
      <c r="F819" s="60" t="s">
        <v>166</v>
      </c>
      <c r="G819" s="66"/>
      <c r="H819" s="66"/>
      <c r="I819" s="66"/>
      <c r="J819" s="66"/>
      <c r="K819" s="66"/>
      <c r="L819" s="66"/>
      <c r="M819" s="66"/>
      <c r="N819" s="66"/>
      <c r="O819" s="66"/>
      <c r="P819" s="64">
        <v>4500</v>
      </c>
      <c r="Q819" s="66"/>
      <c r="R819" s="66"/>
      <c r="S819" s="214"/>
      <c r="T819" s="219">
        <f t="shared" si="25"/>
        <v>4500</v>
      </c>
    </row>
    <row r="820" spans="1:20" ht="33.75">
      <c r="A820" s="17" t="s">
        <v>382</v>
      </c>
      <c r="B820" s="73">
        <v>1</v>
      </c>
      <c r="C820" s="67"/>
      <c r="D820" s="212">
        <v>12</v>
      </c>
      <c r="E820" s="218">
        <f t="shared" si="24"/>
        <v>120000</v>
      </c>
      <c r="F820" s="60" t="s">
        <v>166</v>
      </c>
      <c r="G820" s="66"/>
      <c r="H820" s="66"/>
      <c r="I820" s="66"/>
      <c r="J820" s="66"/>
      <c r="K820" s="66"/>
      <c r="L820" s="66"/>
      <c r="M820" s="66"/>
      <c r="N820" s="66"/>
      <c r="O820" s="66"/>
      <c r="P820" s="64">
        <v>10000</v>
      </c>
      <c r="Q820" s="66"/>
      <c r="R820" s="66"/>
      <c r="S820" s="214"/>
      <c r="T820" s="219">
        <f t="shared" si="25"/>
        <v>10000</v>
      </c>
    </row>
    <row r="821" spans="1:20" ht="33.75">
      <c r="A821" s="17" t="s">
        <v>383</v>
      </c>
      <c r="B821" s="73">
        <v>1</v>
      </c>
      <c r="C821" s="67"/>
      <c r="D821" s="212">
        <v>12</v>
      </c>
      <c r="E821" s="218">
        <f t="shared" si="24"/>
        <v>48000</v>
      </c>
      <c r="F821" s="60" t="s">
        <v>166</v>
      </c>
      <c r="G821" s="66"/>
      <c r="H821" s="66"/>
      <c r="I821" s="66"/>
      <c r="J821" s="66"/>
      <c r="K821" s="66"/>
      <c r="L821" s="66"/>
      <c r="M821" s="66"/>
      <c r="N821" s="66"/>
      <c r="O821" s="66"/>
      <c r="P821" s="64">
        <v>4000</v>
      </c>
      <c r="Q821" s="66"/>
      <c r="R821" s="66"/>
      <c r="S821" s="214"/>
      <c r="T821" s="219">
        <f t="shared" si="25"/>
        <v>4000</v>
      </c>
    </row>
    <row r="822" spans="1:20" ht="33.75">
      <c r="A822" s="17" t="s">
        <v>384</v>
      </c>
      <c r="B822" s="73">
        <v>1</v>
      </c>
      <c r="C822" s="67"/>
      <c r="D822" s="212">
        <v>12</v>
      </c>
      <c r="E822" s="218">
        <f t="shared" si="24"/>
        <v>36000</v>
      </c>
      <c r="F822" s="60" t="s">
        <v>166</v>
      </c>
      <c r="G822" s="66"/>
      <c r="H822" s="66"/>
      <c r="I822" s="66"/>
      <c r="J822" s="66"/>
      <c r="K822" s="66"/>
      <c r="L822" s="66"/>
      <c r="M822" s="66"/>
      <c r="N822" s="66"/>
      <c r="O822" s="66"/>
      <c r="P822" s="64">
        <v>3000</v>
      </c>
      <c r="Q822" s="66"/>
      <c r="R822" s="66"/>
      <c r="S822" s="214"/>
      <c r="T822" s="219">
        <f t="shared" si="25"/>
        <v>3000</v>
      </c>
    </row>
    <row r="823" spans="1:20" ht="33.75">
      <c r="A823" s="17" t="s">
        <v>385</v>
      </c>
      <c r="B823" s="73">
        <v>1</v>
      </c>
      <c r="C823" s="67"/>
      <c r="D823" s="212">
        <v>12</v>
      </c>
      <c r="E823" s="218">
        <f t="shared" si="24"/>
        <v>36000</v>
      </c>
      <c r="F823" s="60" t="s">
        <v>166</v>
      </c>
      <c r="G823" s="66"/>
      <c r="H823" s="66"/>
      <c r="I823" s="66"/>
      <c r="J823" s="66"/>
      <c r="K823" s="66"/>
      <c r="L823" s="66"/>
      <c r="M823" s="66"/>
      <c r="N823" s="66"/>
      <c r="O823" s="66"/>
      <c r="P823" s="64">
        <v>3000</v>
      </c>
      <c r="Q823" s="66"/>
      <c r="R823" s="66"/>
      <c r="S823" s="214"/>
      <c r="T823" s="219">
        <f t="shared" si="25"/>
        <v>3000</v>
      </c>
    </row>
    <row r="824" spans="1:20" ht="33.75">
      <c r="A824" s="17" t="s">
        <v>220</v>
      </c>
      <c r="B824" s="73">
        <v>1</v>
      </c>
      <c r="C824" s="67"/>
      <c r="D824" s="212">
        <v>12</v>
      </c>
      <c r="E824" s="218">
        <f t="shared" si="24"/>
        <v>36000</v>
      </c>
      <c r="F824" s="60" t="s">
        <v>166</v>
      </c>
      <c r="G824" s="66"/>
      <c r="H824" s="66"/>
      <c r="I824" s="66"/>
      <c r="J824" s="66"/>
      <c r="K824" s="66"/>
      <c r="L824" s="66"/>
      <c r="M824" s="66"/>
      <c r="N824" s="66"/>
      <c r="O824" s="66"/>
      <c r="P824" s="64">
        <v>3000</v>
      </c>
      <c r="Q824" s="66"/>
      <c r="R824" s="66"/>
      <c r="S824" s="214"/>
      <c r="T824" s="219">
        <f t="shared" si="25"/>
        <v>3000</v>
      </c>
    </row>
    <row r="825" spans="1:20" ht="33.75">
      <c r="A825" s="17" t="s">
        <v>220</v>
      </c>
      <c r="B825" s="73">
        <v>1</v>
      </c>
      <c r="C825" s="67"/>
      <c r="D825" s="212">
        <v>12</v>
      </c>
      <c r="E825" s="218">
        <f t="shared" si="24"/>
        <v>36000</v>
      </c>
      <c r="F825" s="60" t="s">
        <v>166</v>
      </c>
      <c r="G825" s="66"/>
      <c r="H825" s="66"/>
      <c r="I825" s="66"/>
      <c r="J825" s="66"/>
      <c r="K825" s="66"/>
      <c r="L825" s="66"/>
      <c r="M825" s="66"/>
      <c r="N825" s="66"/>
      <c r="O825" s="66"/>
      <c r="P825" s="64">
        <v>3000</v>
      </c>
      <c r="Q825" s="66"/>
      <c r="R825" s="66"/>
      <c r="S825" s="214"/>
      <c r="T825" s="219">
        <f t="shared" si="25"/>
        <v>3000</v>
      </c>
    </row>
    <row r="826" spans="1:20" ht="33.75">
      <c r="A826" s="17" t="s">
        <v>386</v>
      </c>
      <c r="B826" s="73">
        <v>1</v>
      </c>
      <c r="C826" s="67"/>
      <c r="D826" s="212">
        <v>12</v>
      </c>
      <c r="E826" s="218">
        <f t="shared" si="24"/>
        <v>60000</v>
      </c>
      <c r="F826" s="60" t="s">
        <v>166</v>
      </c>
      <c r="G826" s="66"/>
      <c r="H826" s="66"/>
      <c r="I826" s="66"/>
      <c r="J826" s="66"/>
      <c r="K826" s="66"/>
      <c r="L826" s="66"/>
      <c r="M826" s="66"/>
      <c r="N826" s="66"/>
      <c r="O826" s="66"/>
      <c r="P826" s="64">
        <v>5000</v>
      </c>
      <c r="Q826" s="66"/>
      <c r="R826" s="66"/>
      <c r="S826" s="214"/>
      <c r="T826" s="219">
        <f t="shared" si="25"/>
        <v>5000</v>
      </c>
    </row>
    <row r="827" spans="1:20" ht="33.75">
      <c r="A827" s="17" t="s">
        <v>386</v>
      </c>
      <c r="B827" s="73">
        <v>1</v>
      </c>
      <c r="C827" s="67"/>
      <c r="D827" s="212">
        <v>12</v>
      </c>
      <c r="E827" s="218">
        <f t="shared" si="24"/>
        <v>36000</v>
      </c>
      <c r="F827" s="60" t="s">
        <v>166</v>
      </c>
      <c r="G827" s="66"/>
      <c r="H827" s="66"/>
      <c r="I827" s="66"/>
      <c r="J827" s="66"/>
      <c r="K827" s="66"/>
      <c r="L827" s="66"/>
      <c r="M827" s="66"/>
      <c r="N827" s="66"/>
      <c r="O827" s="66"/>
      <c r="P827" s="64">
        <v>3000</v>
      </c>
      <c r="Q827" s="66"/>
      <c r="R827" s="66"/>
      <c r="S827" s="214"/>
      <c r="T827" s="219">
        <f t="shared" si="25"/>
        <v>3000</v>
      </c>
    </row>
    <row r="828" spans="1:20" ht="33.75">
      <c r="A828" s="17" t="s">
        <v>387</v>
      </c>
      <c r="B828" s="73">
        <v>1</v>
      </c>
      <c r="C828" s="67"/>
      <c r="D828" s="212">
        <v>12</v>
      </c>
      <c r="E828" s="218">
        <f t="shared" si="24"/>
        <v>36000</v>
      </c>
      <c r="F828" s="60" t="s">
        <v>166</v>
      </c>
      <c r="G828" s="66"/>
      <c r="H828" s="66"/>
      <c r="I828" s="66"/>
      <c r="J828" s="66"/>
      <c r="K828" s="66"/>
      <c r="L828" s="66"/>
      <c r="M828" s="66"/>
      <c r="N828" s="66"/>
      <c r="O828" s="66"/>
      <c r="P828" s="64">
        <v>3000</v>
      </c>
      <c r="Q828" s="66"/>
      <c r="R828" s="66"/>
      <c r="S828" s="214"/>
      <c r="T828" s="219">
        <f t="shared" si="25"/>
        <v>3000</v>
      </c>
    </row>
    <row r="829" spans="1:20" ht="33.75">
      <c r="A829" s="17" t="s">
        <v>386</v>
      </c>
      <c r="B829" s="73">
        <v>1</v>
      </c>
      <c r="C829" s="67"/>
      <c r="D829" s="212">
        <v>12</v>
      </c>
      <c r="E829" s="218">
        <f t="shared" si="24"/>
        <v>36000</v>
      </c>
      <c r="F829" s="60" t="s">
        <v>166</v>
      </c>
      <c r="G829" s="66"/>
      <c r="H829" s="66"/>
      <c r="I829" s="66"/>
      <c r="J829" s="66"/>
      <c r="K829" s="66"/>
      <c r="L829" s="66"/>
      <c r="M829" s="66"/>
      <c r="N829" s="66"/>
      <c r="O829" s="66"/>
      <c r="P829" s="64">
        <v>3000</v>
      </c>
      <c r="Q829" s="66"/>
      <c r="R829" s="66"/>
      <c r="S829" s="214"/>
      <c r="T829" s="219">
        <f t="shared" si="25"/>
        <v>3000</v>
      </c>
    </row>
    <row r="830" spans="1:20" ht="33.75">
      <c r="A830" s="17" t="s">
        <v>220</v>
      </c>
      <c r="B830" s="73">
        <v>1</v>
      </c>
      <c r="C830" s="67"/>
      <c r="D830" s="212">
        <v>12</v>
      </c>
      <c r="E830" s="218">
        <f t="shared" si="24"/>
        <v>36000</v>
      </c>
      <c r="F830" s="60" t="s">
        <v>166</v>
      </c>
      <c r="G830" s="66"/>
      <c r="H830" s="66"/>
      <c r="I830" s="66"/>
      <c r="J830" s="66"/>
      <c r="K830" s="66"/>
      <c r="L830" s="66"/>
      <c r="M830" s="66"/>
      <c r="N830" s="66"/>
      <c r="O830" s="66"/>
      <c r="P830" s="64">
        <v>3000</v>
      </c>
      <c r="Q830" s="66"/>
      <c r="R830" s="66"/>
      <c r="S830" s="214"/>
      <c r="T830" s="219">
        <f t="shared" si="25"/>
        <v>3000</v>
      </c>
    </row>
    <row r="831" spans="1:20" ht="22.5">
      <c r="A831" s="17" t="s">
        <v>236</v>
      </c>
      <c r="B831" s="73">
        <v>1</v>
      </c>
      <c r="C831" s="67"/>
      <c r="D831" s="212">
        <v>12</v>
      </c>
      <c r="E831" s="218">
        <f t="shared" si="24"/>
        <v>40800</v>
      </c>
      <c r="F831" s="60" t="s">
        <v>166</v>
      </c>
      <c r="G831" s="66"/>
      <c r="H831" s="66"/>
      <c r="I831" s="66"/>
      <c r="J831" s="66"/>
      <c r="K831" s="66"/>
      <c r="L831" s="66"/>
      <c r="M831" s="66"/>
      <c r="N831" s="66"/>
      <c r="O831" s="66"/>
      <c r="P831" s="64">
        <v>3400</v>
      </c>
      <c r="Q831" s="66"/>
      <c r="R831" s="66"/>
      <c r="S831" s="214"/>
      <c r="T831" s="219">
        <f t="shared" si="25"/>
        <v>3400</v>
      </c>
    </row>
    <row r="832" spans="1:20" ht="22.5">
      <c r="A832" s="17" t="s">
        <v>236</v>
      </c>
      <c r="B832" s="73">
        <v>1</v>
      </c>
      <c r="C832" s="67"/>
      <c r="D832" s="212">
        <v>12</v>
      </c>
      <c r="E832" s="218">
        <f t="shared" si="24"/>
        <v>40800</v>
      </c>
      <c r="F832" s="60" t="s">
        <v>166</v>
      </c>
      <c r="G832" s="66"/>
      <c r="H832" s="66"/>
      <c r="I832" s="66"/>
      <c r="J832" s="66"/>
      <c r="K832" s="66"/>
      <c r="L832" s="66"/>
      <c r="M832" s="66"/>
      <c r="N832" s="66"/>
      <c r="O832" s="66"/>
      <c r="P832" s="64">
        <v>3400</v>
      </c>
      <c r="Q832" s="66"/>
      <c r="R832" s="66"/>
      <c r="S832" s="214"/>
      <c r="T832" s="219">
        <f t="shared" si="25"/>
        <v>3400</v>
      </c>
    </row>
    <row r="833" spans="1:20" ht="33.75">
      <c r="A833" s="17" t="s">
        <v>388</v>
      </c>
      <c r="B833" s="73">
        <v>1</v>
      </c>
      <c r="C833" s="67"/>
      <c r="D833" s="212">
        <v>12</v>
      </c>
      <c r="E833" s="218">
        <f t="shared" si="24"/>
        <v>96000</v>
      </c>
      <c r="F833" s="60" t="s">
        <v>166</v>
      </c>
      <c r="G833" s="66"/>
      <c r="H833" s="66"/>
      <c r="I833" s="66"/>
      <c r="J833" s="66"/>
      <c r="K833" s="66"/>
      <c r="L833" s="66"/>
      <c r="M833" s="66"/>
      <c r="N833" s="66"/>
      <c r="O833" s="66"/>
      <c r="P833" s="64">
        <v>8000</v>
      </c>
      <c r="Q833" s="66"/>
      <c r="R833" s="66"/>
      <c r="S833" s="214"/>
      <c r="T833" s="219">
        <f t="shared" si="25"/>
        <v>8000</v>
      </c>
    </row>
    <row r="834" spans="1:20" ht="33.75">
      <c r="A834" s="17" t="s">
        <v>389</v>
      </c>
      <c r="B834" s="73">
        <v>1</v>
      </c>
      <c r="C834" s="67"/>
      <c r="D834" s="212">
        <v>12</v>
      </c>
      <c r="E834" s="218">
        <f t="shared" si="24"/>
        <v>60000</v>
      </c>
      <c r="F834" s="60" t="s">
        <v>166</v>
      </c>
      <c r="G834" s="66"/>
      <c r="H834" s="66"/>
      <c r="I834" s="66"/>
      <c r="J834" s="66"/>
      <c r="K834" s="66"/>
      <c r="L834" s="66"/>
      <c r="M834" s="66"/>
      <c r="N834" s="66"/>
      <c r="O834" s="66"/>
      <c r="P834" s="64">
        <v>5000</v>
      </c>
      <c r="Q834" s="66"/>
      <c r="R834" s="66"/>
      <c r="S834" s="214"/>
      <c r="T834" s="219">
        <f t="shared" si="25"/>
        <v>5000</v>
      </c>
    </row>
    <row r="835" spans="1:20" ht="33.75">
      <c r="A835" s="17" t="s">
        <v>390</v>
      </c>
      <c r="B835" s="73">
        <v>1</v>
      </c>
      <c r="C835" s="67"/>
      <c r="D835" s="212">
        <v>12</v>
      </c>
      <c r="E835" s="218">
        <f t="shared" si="24"/>
        <v>72000</v>
      </c>
      <c r="F835" s="60" t="s">
        <v>166</v>
      </c>
      <c r="G835" s="66"/>
      <c r="H835" s="66"/>
      <c r="I835" s="66"/>
      <c r="J835" s="66"/>
      <c r="K835" s="66"/>
      <c r="L835" s="66"/>
      <c r="M835" s="66"/>
      <c r="N835" s="66"/>
      <c r="O835" s="66"/>
      <c r="P835" s="64">
        <v>6000</v>
      </c>
      <c r="Q835" s="66"/>
      <c r="R835" s="66"/>
      <c r="S835" s="214"/>
      <c r="T835" s="219">
        <f t="shared" si="25"/>
        <v>6000</v>
      </c>
    </row>
    <row r="836" spans="1:20" ht="22.5">
      <c r="A836" s="17" t="s">
        <v>391</v>
      </c>
      <c r="B836" s="73">
        <v>1</v>
      </c>
      <c r="C836" s="67"/>
      <c r="D836" s="212">
        <v>12</v>
      </c>
      <c r="E836" s="218">
        <f t="shared" si="24"/>
        <v>216000</v>
      </c>
      <c r="F836" s="60" t="s">
        <v>166</v>
      </c>
      <c r="G836" s="66"/>
      <c r="H836" s="66"/>
      <c r="I836" s="66"/>
      <c r="J836" s="66"/>
      <c r="K836" s="66"/>
      <c r="L836" s="66"/>
      <c r="M836" s="66"/>
      <c r="N836" s="66"/>
      <c r="O836" s="66"/>
      <c r="P836" s="64">
        <v>18000</v>
      </c>
      <c r="Q836" s="66"/>
      <c r="R836" s="66"/>
      <c r="S836" s="214"/>
      <c r="T836" s="219">
        <f t="shared" si="25"/>
        <v>18000</v>
      </c>
    </row>
    <row r="837" spans="1:20" ht="33.75">
      <c r="A837" s="17" t="s">
        <v>392</v>
      </c>
      <c r="B837" s="73">
        <v>1</v>
      </c>
      <c r="C837" s="67"/>
      <c r="D837" s="212">
        <v>12</v>
      </c>
      <c r="E837" s="218">
        <f t="shared" si="24"/>
        <v>54000</v>
      </c>
      <c r="F837" s="60" t="s">
        <v>166</v>
      </c>
      <c r="G837" s="66"/>
      <c r="H837" s="66"/>
      <c r="I837" s="66"/>
      <c r="J837" s="66"/>
      <c r="K837" s="66"/>
      <c r="L837" s="66"/>
      <c r="M837" s="66"/>
      <c r="N837" s="66"/>
      <c r="O837" s="66"/>
      <c r="P837" s="64">
        <v>4500</v>
      </c>
      <c r="Q837" s="66"/>
      <c r="R837" s="66"/>
      <c r="S837" s="214"/>
      <c r="T837" s="219">
        <f t="shared" si="25"/>
        <v>4500</v>
      </c>
    </row>
    <row r="838" spans="1:20" ht="33.75">
      <c r="A838" s="17" t="s">
        <v>393</v>
      </c>
      <c r="B838" s="73">
        <v>1</v>
      </c>
      <c r="C838" s="67"/>
      <c r="D838" s="212">
        <v>12</v>
      </c>
      <c r="E838" s="218">
        <f t="shared" si="24"/>
        <v>72000</v>
      </c>
      <c r="F838" s="60" t="s">
        <v>166</v>
      </c>
      <c r="G838" s="66"/>
      <c r="H838" s="66"/>
      <c r="I838" s="66"/>
      <c r="J838" s="66"/>
      <c r="K838" s="66"/>
      <c r="L838" s="66"/>
      <c r="M838" s="66"/>
      <c r="N838" s="66"/>
      <c r="O838" s="66"/>
      <c r="P838" s="64">
        <v>6000</v>
      </c>
      <c r="Q838" s="66"/>
      <c r="R838" s="66"/>
      <c r="S838" s="214"/>
      <c r="T838" s="219">
        <f t="shared" si="25"/>
        <v>6000</v>
      </c>
    </row>
    <row r="839" spans="1:20" ht="33.75">
      <c r="A839" s="17" t="s">
        <v>394</v>
      </c>
      <c r="B839" s="73">
        <v>1</v>
      </c>
      <c r="C839" s="67"/>
      <c r="D839" s="212">
        <v>12</v>
      </c>
      <c r="E839" s="218">
        <f t="shared" ref="E839:E902" si="26">T839*12</f>
        <v>48000</v>
      </c>
      <c r="F839" s="60" t="s">
        <v>166</v>
      </c>
      <c r="G839" s="66"/>
      <c r="H839" s="66"/>
      <c r="I839" s="66"/>
      <c r="J839" s="66"/>
      <c r="K839" s="66"/>
      <c r="L839" s="66"/>
      <c r="M839" s="66"/>
      <c r="N839" s="66"/>
      <c r="O839" s="66"/>
      <c r="P839" s="64">
        <v>4000</v>
      </c>
      <c r="Q839" s="66"/>
      <c r="R839" s="66"/>
      <c r="S839" s="214"/>
      <c r="T839" s="219">
        <f t="shared" si="25"/>
        <v>4000</v>
      </c>
    </row>
    <row r="840" spans="1:20" ht="45">
      <c r="A840" s="17" t="s">
        <v>395</v>
      </c>
      <c r="B840" s="73">
        <v>1</v>
      </c>
      <c r="C840" s="67"/>
      <c r="D840" s="212">
        <v>12</v>
      </c>
      <c r="E840" s="218">
        <f t="shared" si="26"/>
        <v>90000</v>
      </c>
      <c r="F840" s="60" t="s">
        <v>166</v>
      </c>
      <c r="G840" s="66"/>
      <c r="H840" s="66"/>
      <c r="I840" s="66"/>
      <c r="J840" s="66"/>
      <c r="K840" s="66"/>
      <c r="L840" s="66"/>
      <c r="M840" s="66"/>
      <c r="N840" s="66"/>
      <c r="O840" s="66"/>
      <c r="P840" s="64">
        <v>7500</v>
      </c>
      <c r="Q840" s="66"/>
      <c r="R840" s="66"/>
      <c r="S840" s="214"/>
      <c r="T840" s="219">
        <f t="shared" ref="T840:T903" si="27">SUM(G840:S840)</f>
        <v>7500</v>
      </c>
    </row>
    <row r="841" spans="1:20" ht="33.75">
      <c r="A841" s="17" t="s">
        <v>396</v>
      </c>
      <c r="B841" s="73">
        <v>1</v>
      </c>
      <c r="C841" s="67"/>
      <c r="D841" s="212">
        <v>12</v>
      </c>
      <c r="E841" s="218">
        <f t="shared" si="26"/>
        <v>36000</v>
      </c>
      <c r="F841" s="60" t="s">
        <v>166</v>
      </c>
      <c r="G841" s="66"/>
      <c r="H841" s="66"/>
      <c r="I841" s="66"/>
      <c r="J841" s="66"/>
      <c r="K841" s="66"/>
      <c r="L841" s="66"/>
      <c r="M841" s="66"/>
      <c r="N841" s="66"/>
      <c r="O841" s="66"/>
      <c r="P841" s="64">
        <v>3000</v>
      </c>
      <c r="Q841" s="66"/>
      <c r="R841" s="66"/>
      <c r="S841" s="214"/>
      <c r="T841" s="219">
        <f t="shared" si="27"/>
        <v>3000</v>
      </c>
    </row>
    <row r="842" spans="1:20" ht="33.75">
      <c r="A842" s="17" t="s">
        <v>396</v>
      </c>
      <c r="B842" s="73">
        <v>1</v>
      </c>
      <c r="C842" s="67"/>
      <c r="D842" s="212">
        <v>12</v>
      </c>
      <c r="E842" s="218">
        <f t="shared" si="26"/>
        <v>36000</v>
      </c>
      <c r="F842" s="60" t="s">
        <v>166</v>
      </c>
      <c r="G842" s="66"/>
      <c r="H842" s="66"/>
      <c r="I842" s="66"/>
      <c r="J842" s="66"/>
      <c r="K842" s="66"/>
      <c r="L842" s="66"/>
      <c r="M842" s="66"/>
      <c r="N842" s="66"/>
      <c r="O842" s="66"/>
      <c r="P842" s="64">
        <v>3000</v>
      </c>
      <c r="Q842" s="66"/>
      <c r="R842" s="66"/>
      <c r="S842" s="214"/>
      <c r="T842" s="219">
        <f t="shared" si="27"/>
        <v>3000</v>
      </c>
    </row>
    <row r="843" spans="1:20" ht="33.75">
      <c r="A843" s="17" t="s">
        <v>396</v>
      </c>
      <c r="B843" s="73">
        <v>1</v>
      </c>
      <c r="C843" s="67"/>
      <c r="D843" s="212">
        <v>12</v>
      </c>
      <c r="E843" s="218">
        <f t="shared" si="26"/>
        <v>36000</v>
      </c>
      <c r="F843" s="60" t="s">
        <v>166</v>
      </c>
      <c r="G843" s="66"/>
      <c r="H843" s="66"/>
      <c r="I843" s="66"/>
      <c r="J843" s="66"/>
      <c r="K843" s="66"/>
      <c r="L843" s="66"/>
      <c r="M843" s="66"/>
      <c r="N843" s="66"/>
      <c r="O843" s="66"/>
      <c r="P843" s="64">
        <v>3000</v>
      </c>
      <c r="Q843" s="66"/>
      <c r="R843" s="66"/>
      <c r="S843" s="214"/>
      <c r="T843" s="219">
        <f t="shared" si="27"/>
        <v>3000</v>
      </c>
    </row>
    <row r="844" spans="1:20" ht="33.75">
      <c r="A844" s="17" t="s">
        <v>397</v>
      </c>
      <c r="B844" s="73">
        <v>1</v>
      </c>
      <c r="C844" s="67"/>
      <c r="D844" s="212">
        <v>12</v>
      </c>
      <c r="E844" s="218">
        <f t="shared" si="26"/>
        <v>36000</v>
      </c>
      <c r="F844" s="60" t="s">
        <v>166</v>
      </c>
      <c r="G844" s="66"/>
      <c r="H844" s="66"/>
      <c r="I844" s="66"/>
      <c r="J844" s="66"/>
      <c r="K844" s="66"/>
      <c r="L844" s="66"/>
      <c r="M844" s="66"/>
      <c r="N844" s="66"/>
      <c r="O844" s="66"/>
      <c r="P844" s="64">
        <v>3000</v>
      </c>
      <c r="Q844" s="66"/>
      <c r="R844" s="66"/>
      <c r="S844" s="214"/>
      <c r="T844" s="219">
        <f t="shared" si="27"/>
        <v>3000</v>
      </c>
    </row>
    <row r="845" spans="1:20" ht="33.75">
      <c r="A845" s="17" t="s">
        <v>397</v>
      </c>
      <c r="B845" s="73">
        <v>1</v>
      </c>
      <c r="C845" s="67"/>
      <c r="D845" s="212">
        <v>12</v>
      </c>
      <c r="E845" s="218">
        <f t="shared" si="26"/>
        <v>36000</v>
      </c>
      <c r="F845" s="60" t="s">
        <v>166</v>
      </c>
      <c r="G845" s="66"/>
      <c r="H845" s="66"/>
      <c r="I845" s="66"/>
      <c r="J845" s="66"/>
      <c r="K845" s="66"/>
      <c r="L845" s="66"/>
      <c r="M845" s="66"/>
      <c r="N845" s="66"/>
      <c r="O845" s="66"/>
      <c r="P845" s="64">
        <v>3000</v>
      </c>
      <c r="Q845" s="66"/>
      <c r="R845" s="66"/>
      <c r="S845" s="214"/>
      <c r="T845" s="219">
        <f t="shared" si="27"/>
        <v>3000</v>
      </c>
    </row>
    <row r="846" spans="1:20" ht="33.75">
      <c r="A846" s="17" t="s">
        <v>397</v>
      </c>
      <c r="B846" s="73">
        <v>1</v>
      </c>
      <c r="C846" s="67"/>
      <c r="D846" s="212">
        <v>12</v>
      </c>
      <c r="E846" s="218">
        <f t="shared" si="26"/>
        <v>36000</v>
      </c>
      <c r="F846" s="60" t="s">
        <v>166</v>
      </c>
      <c r="G846" s="66"/>
      <c r="H846" s="66"/>
      <c r="I846" s="66"/>
      <c r="J846" s="66"/>
      <c r="K846" s="66"/>
      <c r="L846" s="66"/>
      <c r="M846" s="66"/>
      <c r="N846" s="66"/>
      <c r="O846" s="66"/>
      <c r="P846" s="64">
        <v>3000</v>
      </c>
      <c r="Q846" s="66"/>
      <c r="R846" s="66"/>
      <c r="S846" s="214"/>
      <c r="T846" s="219">
        <f t="shared" si="27"/>
        <v>3000</v>
      </c>
    </row>
    <row r="847" spans="1:20" ht="33.75">
      <c r="A847" s="17" t="s">
        <v>397</v>
      </c>
      <c r="B847" s="73">
        <v>1</v>
      </c>
      <c r="C847" s="67"/>
      <c r="D847" s="212">
        <v>12</v>
      </c>
      <c r="E847" s="218">
        <f t="shared" si="26"/>
        <v>48000</v>
      </c>
      <c r="F847" s="60" t="s">
        <v>166</v>
      </c>
      <c r="G847" s="66"/>
      <c r="H847" s="66"/>
      <c r="I847" s="66"/>
      <c r="J847" s="66"/>
      <c r="K847" s="66"/>
      <c r="L847" s="66"/>
      <c r="M847" s="66"/>
      <c r="N847" s="66"/>
      <c r="O847" s="66"/>
      <c r="P847" s="64">
        <v>4000</v>
      </c>
      <c r="Q847" s="66"/>
      <c r="R847" s="66"/>
      <c r="S847" s="214"/>
      <c r="T847" s="219">
        <f t="shared" si="27"/>
        <v>4000</v>
      </c>
    </row>
    <row r="848" spans="1:20" ht="33.75">
      <c r="A848" s="17" t="s">
        <v>398</v>
      </c>
      <c r="B848" s="73">
        <v>1</v>
      </c>
      <c r="C848" s="67"/>
      <c r="D848" s="212">
        <v>12</v>
      </c>
      <c r="E848" s="218">
        <f t="shared" si="26"/>
        <v>36000</v>
      </c>
      <c r="F848" s="60" t="s">
        <v>166</v>
      </c>
      <c r="G848" s="66"/>
      <c r="H848" s="66"/>
      <c r="I848" s="66"/>
      <c r="J848" s="66"/>
      <c r="K848" s="66"/>
      <c r="L848" s="66"/>
      <c r="M848" s="66"/>
      <c r="N848" s="66"/>
      <c r="O848" s="66"/>
      <c r="P848" s="64">
        <v>3000</v>
      </c>
      <c r="Q848" s="66"/>
      <c r="R848" s="66"/>
      <c r="S848" s="214"/>
      <c r="T848" s="219">
        <f t="shared" si="27"/>
        <v>3000</v>
      </c>
    </row>
    <row r="849" spans="1:20" ht="33.75">
      <c r="A849" s="17" t="s">
        <v>396</v>
      </c>
      <c r="B849" s="73">
        <v>1</v>
      </c>
      <c r="C849" s="67"/>
      <c r="D849" s="212">
        <v>12</v>
      </c>
      <c r="E849" s="218">
        <f t="shared" si="26"/>
        <v>36000</v>
      </c>
      <c r="F849" s="60" t="s">
        <v>166</v>
      </c>
      <c r="G849" s="66"/>
      <c r="H849" s="66"/>
      <c r="I849" s="66"/>
      <c r="J849" s="66"/>
      <c r="K849" s="66"/>
      <c r="L849" s="66"/>
      <c r="M849" s="66"/>
      <c r="N849" s="66"/>
      <c r="O849" s="66"/>
      <c r="P849" s="64">
        <v>3000</v>
      </c>
      <c r="Q849" s="66"/>
      <c r="R849" s="66"/>
      <c r="S849" s="214"/>
      <c r="T849" s="219">
        <f t="shared" si="27"/>
        <v>3000</v>
      </c>
    </row>
    <row r="850" spans="1:20" ht="33.75">
      <c r="A850" s="17" t="s">
        <v>398</v>
      </c>
      <c r="B850" s="73">
        <v>1</v>
      </c>
      <c r="C850" s="67"/>
      <c r="D850" s="212">
        <v>12</v>
      </c>
      <c r="E850" s="218">
        <f t="shared" si="26"/>
        <v>36000</v>
      </c>
      <c r="F850" s="60" t="s">
        <v>166</v>
      </c>
      <c r="G850" s="66"/>
      <c r="H850" s="66"/>
      <c r="I850" s="66"/>
      <c r="J850" s="66"/>
      <c r="K850" s="66"/>
      <c r="L850" s="66"/>
      <c r="M850" s="66"/>
      <c r="N850" s="66"/>
      <c r="O850" s="66"/>
      <c r="P850" s="64">
        <v>3000</v>
      </c>
      <c r="Q850" s="66"/>
      <c r="R850" s="66"/>
      <c r="S850" s="214"/>
      <c r="T850" s="219">
        <f t="shared" si="27"/>
        <v>3000</v>
      </c>
    </row>
    <row r="851" spans="1:20" ht="33.75">
      <c r="A851" s="17" t="s">
        <v>399</v>
      </c>
      <c r="B851" s="73">
        <v>1</v>
      </c>
      <c r="C851" s="67"/>
      <c r="D851" s="212">
        <v>12</v>
      </c>
      <c r="E851" s="218">
        <f t="shared" si="26"/>
        <v>72000</v>
      </c>
      <c r="F851" s="60" t="s">
        <v>166</v>
      </c>
      <c r="G851" s="66"/>
      <c r="H851" s="66"/>
      <c r="I851" s="66"/>
      <c r="J851" s="66"/>
      <c r="K851" s="66"/>
      <c r="L851" s="66"/>
      <c r="M851" s="66"/>
      <c r="N851" s="66"/>
      <c r="O851" s="66"/>
      <c r="P851" s="64">
        <v>6000</v>
      </c>
      <c r="Q851" s="66"/>
      <c r="R851" s="66"/>
      <c r="S851" s="214"/>
      <c r="T851" s="219">
        <f t="shared" si="27"/>
        <v>6000</v>
      </c>
    </row>
    <row r="852" spans="1:20" ht="33.75">
      <c r="A852" s="17" t="s">
        <v>397</v>
      </c>
      <c r="B852" s="73">
        <v>1</v>
      </c>
      <c r="C852" s="67"/>
      <c r="D852" s="212">
        <v>12</v>
      </c>
      <c r="E852" s="218">
        <f t="shared" si="26"/>
        <v>33600</v>
      </c>
      <c r="F852" s="60" t="s">
        <v>166</v>
      </c>
      <c r="G852" s="66"/>
      <c r="H852" s="66"/>
      <c r="I852" s="66"/>
      <c r="J852" s="66"/>
      <c r="K852" s="66"/>
      <c r="L852" s="66"/>
      <c r="M852" s="66"/>
      <c r="N852" s="66"/>
      <c r="O852" s="66"/>
      <c r="P852" s="64">
        <v>2800</v>
      </c>
      <c r="Q852" s="66"/>
      <c r="R852" s="66"/>
      <c r="S852" s="214"/>
      <c r="T852" s="219">
        <f t="shared" si="27"/>
        <v>2800</v>
      </c>
    </row>
    <row r="853" spans="1:20" ht="33.75">
      <c r="A853" s="17" t="s">
        <v>397</v>
      </c>
      <c r="B853" s="73">
        <v>1</v>
      </c>
      <c r="C853" s="67"/>
      <c r="D853" s="212">
        <v>12</v>
      </c>
      <c r="E853" s="218">
        <f t="shared" si="26"/>
        <v>33600</v>
      </c>
      <c r="F853" s="60" t="s">
        <v>166</v>
      </c>
      <c r="G853" s="66"/>
      <c r="H853" s="66"/>
      <c r="I853" s="66"/>
      <c r="J853" s="66"/>
      <c r="K853" s="66"/>
      <c r="L853" s="66"/>
      <c r="M853" s="66"/>
      <c r="N853" s="66"/>
      <c r="O853" s="66"/>
      <c r="P853" s="64">
        <v>2800</v>
      </c>
      <c r="Q853" s="66"/>
      <c r="R853" s="66"/>
      <c r="S853" s="214"/>
      <c r="T853" s="219">
        <f t="shared" si="27"/>
        <v>2800</v>
      </c>
    </row>
    <row r="854" spans="1:20" ht="33.75">
      <c r="A854" s="17" t="s">
        <v>397</v>
      </c>
      <c r="B854" s="73">
        <v>1</v>
      </c>
      <c r="C854" s="67"/>
      <c r="D854" s="212">
        <v>12</v>
      </c>
      <c r="E854" s="218">
        <f t="shared" si="26"/>
        <v>33600</v>
      </c>
      <c r="F854" s="60" t="s">
        <v>166</v>
      </c>
      <c r="G854" s="66"/>
      <c r="H854" s="66"/>
      <c r="I854" s="66"/>
      <c r="J854" s="66"/>
      <c r="K854" s="66"/>
      <c r="L854" s="66"/>
      <c r="M854" s="66"/>
      <c r="N854" s="66"/>
      <c r="O854" s="66"/>
      <c r="P854" s="64">
        <v>2800</v>
      </c>
      <c r="Q854" s="66"/>
      <c r="R854" s="66"/>
      <c r="S854" s="214"/>
      <c r="T854" s="219">
        <f t="shared" si="27"/>
        <v>2800</v>
      </c>
    </row>
    <row r="855" spans="1:20" ht="45">
      <c r="A855" s="17" t="s">
        <v>400</v>
      </c>
      <c r="B855" s="73">
        <v>1</v>
      </c>
      <c r="C855" s="67"/>
      <c r="D855" s="212">
        <v>12</v>
      </c>
      <c r="E855" s="218">
        <f t="shared" si="26"/>
        <v>36000</v>
      </c>
      <c r="F855" s="60" t="s">
        <v>166</v>
      </c>
      <c r="G855" s="66"/>
      <c r="H855" s="66"/>
      <c r="I855" s="66"/>
      <c r="J855" s="66"/>
      <c r="K855" s="66"/>
      <c r="L855" s="66"/>
      <c r="M855" s="66"/>
      <c r="N855" s="66"/>
      <c r="O855" s="66"/>
      <c r="P855" s="64">
        <v>3000</v>
      </c>
      <c r="Q855" s="66"/>
      <c r="R855" s="66"/>
      <c r="S855" s="214"/>
      <c r="T855" s="219">
        <f t="shared" si="27"/>
        <v>3000</v>
      </c>
    </row>
    <row r="856" spans="1:20" ht="45">
      <c r="A856" s="17" t="s">
        <v>401</v>
      </c>
      <c r="B856" s="73">
        <v>1</v>
      </c>
      <c r="C856" s="67"/>
      <c r="D856" s="212">
        <v>12</v>
      </c>
      <c r="E856" s="218">
        <f t="shared" si="26"/>
        <v>36000</v>
      </c>
      <c r="F856" s="60" t="s">
        <v>166</v>
      </c>
      <c r="G856" s="66"/>
      <c r="H856" s="66"/>
      <c r="I856" s="66"/>
      <c r="J856" s="66"/>
      <c r="K856" s="66"/>
      <c r="L856" s="66"/>
      <c r="M856" s="66"/>
      <c r="N856" s="66"/>
      <c r="O856" s="66"/>
      <c r="P856" s="64">
        <v>3000</v>
      </c>
      <c r="Q856" s="66"/>
      <c r="R856" s="66"/>
      <c r="S856" s="214"/>
      <c r="T856" s="219">
        <f t="shared" si="27"/>
        <v>3000</v>
      </c>
    </row>
    <row r="857" spans="1:20" ht="33.75">
      <c r="A857" s="17" t="s">
        <v>397</v>
      </c>
      <c r="B857" s="73">
        <v>1</v>
      </c>
      <c r="C857" s="67"/>
      <c r="D857" s="212">
        <v>12</v>
      </c>
      <c r="E857" s="218">
        <f t="shared" si="26"/>
        <v>36000</v>
      </c>
      <c r="F857" s="60" t="s">
        <v>166</v>
      </c>
      <c r="G857" s="66"/>
      <c r="H857" s="66"/>
      <c r="I857" s="66"/>
      <c r="J857" s="66"/>
      <c r="K857" s="66"/>
      <c r="L857" s="66"/>
      <c r="M857" s="66"/>
      <c r="N857" s="66"/>
      <c r="O857" s="66"/>
      <c r="P857" s="64">
        <v>3000</v>
      </c>
      <c r="Q857" s="66"/>
      <c r="R857" s="66"/>
      <c r="S857" s="214"/>
      <c r="T857" s="219">
        <f t="shared" si="27"/>
        <v>3000</v>
      </c>
    </row>
    <row r="858" spans="1:20" ht="33.75">
      <c r="A858" s="17" t="s">
        <v>397</v>
      </c>
      <c r="B858" s="73">
        <v>1</v>
      </c>
      <c r="C858" s="67"/>
      <c r="D858" s="212">
        <v>12</v>
      </c>
      <c r="E858" s="218">
        <f t="shared" si="26"/>
        <v>36000</v>
      </c>
      <c r="F858" s="60" t="s">
        <v>166</v>
      </c>
      <c r="G858" s="66"/>
      <c r="H858" s="66"/>
      <c r="I858" s="66"/>
      <c r="J858" s="66"/>
      <c r="K858" s="66"/>
      <c r="L858" s="66"/>
      <c r="M858" s="66"/>
      <c r="N858" s="66"/>
      <c r="O858" s="66"/>
      <c r="P858" s="64">
        <v>3000</v>
      </c>
      <c r="Q858" s="66"/>
      <c r="R858" s="66"/>
      <c r="S858" s="214"/>
      <c r="T858" s="219">
        <f t="shared" si="27"/>
        <v>3000</v>
      </c>
    </row>
    <row r="859" spans="1:20" ht="33.75">
      <c r="A859" s="17" t="s">
        <v>397</v>
      </c>
      <c r="B859" s="73">
        <v>1</v>
      </c>
      <c r="C859" s="67"/>
      <c r="D859" s="212">
        <v>12</v>
      </c>
      <c r="E859" s="218">
        <f t="shared" si="26"/>
        <v>36000</v>
      </c>
      <c r="F859" s="60" t="s">
        <v>166</v>
      </c>
      <c r="G859" s="66"/>
      <c r="H859" s="66"/>
      <c r="I859" s="66"/>
      <c r="J859" s="66"/>
      <c r="K859" s="66"/>
      <c r="L859" s="66"/>
      <c r="M859" s="66"/>
      <c r="N859" s="66"/>
      <c r="O859" s="66"/>
      <c r="P859" s="64">
        <v>3000</v>
      </c>
      <c r="Q859" s="66"/>
      <c r="R859" s="66"/>
      <c r="S859" s="214"/>
      <c r="T859" s="219">
        <f t="shared" si="27"/>
        <v>3000</v>
      </c>
    </row>
    <row r="860" spans="1:20" ht="33.75">
      <c r="A860" s="17" t="s">
        <v>397</v>
      </c>
      <c r="B860" s="73">
        <v>1</v>
      </c>
      <c r="C860" s="67"/>
      <c r="D860" s="212">
        <v>12</v>
      </c>
      <c r="E860" s="218">
        <f t="shared" si="26"/>
        <v>36000</v>
      </c>
      <c r="F860" s="60" t="s">
        <v>166</v>
      </c>
      <c r="G860" s="66"/>
      <c r="H860" s="66"/>
      <c r="I860" s="66"/>
      <c r="J860" s="66"/>
      <c r="K860" s="66"/>
      <c r="L860" s="66"/>
      <c r="M860" s="66"/>
      <c r="N860" s="66"/>
      <c r="O860" s="66"/>
      <c r="P860" s="64">
        <v>3000</v>
      </c>
      <c r="Q860" s="66"/>
      <c r="R860" s="66"/>
      <c r="S860" s="214"/>
      <c r="T860" s="219">
        <f t="shared" si="27"/>
        <v>3000</v>
      </c>
    </row>
    <row r="861" spans="1:20" ht="33.75">
      <c r="A861" s="17" t="s">
        <v>397</v>
      </c>
      <c r="B861" s="73">
        <v>1</v>
      </c>
      <c r="C861" s="67"/>
      <c r="D861" s="212">
        <v>12</v>
      </c>
      <c r="E861" s="218">
        <f t="shared" si="26"/>
        <v>36000</v>
      </c>
      <c r="F861" s="60" t="s">
        <v>166</v>
      </c>
      <c r="G861" s="66"/>
      <c r="H861" s="66"/>
      <c r="I861" s="66"/>
      <c r="J861" s="66"/>
      <c r="K861" s="66"/>
      <c r="L861" s="66"/>
      <c r="M861" s="66"/>
      <c r="N861" s="66"/>
      <c r="O861" s="66"/>
      <c r="P861" s="64">
        <v>3000</v>
      </c>
      <c r="Q861" s="66"/>
      <c r="R861" s="66"/>
      <c r="S861" s="214"/>
      <c r="T861" s="219">
        <f t="shared" si="27"/>
        <v>3000</v>
      </c>
    </row>
    <row r="862" spans="1:20" ht="33.75">
      <c r="A862" s="17" t="s">
        <v>397</v>
      </c>
      <c r="B862" s="73">
        <v>1</v>
      </c>
      <c r="C862" s="67"/>
      <c r="D862" s="212">
        <v>12</v>
      </c>
      <c r="E862" s="218">
        <f t="shared" si="26"/>
        <v>48000</v>
      </c>
      <c r="F862" s="60" t="s">
        <v>166</v>
      </c>
      <c r="G862" s="66"/>
      <c r="H862" s="66"/>
      <c r="I862" s="66"/>
      <c r="J862" s="66"/>
      <c r="K862" s="66"/>
      <c r="L862" s="66"/>
      <c r="M862" s="66"/>
      <c r="N862" s="66"/>
      <c r="O862" s="66"/>
      <c r="P862" s="64">
        <v>4000</v>
      </c>
      <c r="Q862" s="66"/>
      <c r="R862" s="66"/>
      <c r="S862" s="214"/>
      <c r="T862" s="219">
        <f t="shared" si="27"/>
        <v>4000</v>
      </c>
    </row>
    <row r="863" spans="1:20" ht="45">
      <c r="A863" s="17" t="s">
        <v>402</v>
      </c>
      <c r="B863" s="73">
        <v>1</v>
      </c>
      <c r="C863" s="67"/>
      <c r="D863" s="212">
        <v>12</v>
      </c>
      <c r="E863" s="218">
        <f t="shared" si="26"/>
        <v>36000</v>
      </c>
      <c r="F863" s="60" t="s">
        <v>166</v>
      </c>
      <c r="G863" s="66"/>
      <c r="H863" s="66"/>
      <c r="I863" s="66"/>
      <c r="J863" s="66"/>
      <c r="K863" s="66"/>
      <c r="L863" s="66"/>
      <c r="M863" s="66"/>
      <c r="N863" s="66"/>
      <c r="O863" s="66"/>
      <c r="P863" s="64">
        <v>3000</v>
      </c>
      <c r="Q863" s="66"/>
      <c r="R863" s="66"/>
      <c r="S863" s="214"/>
      <c r="T863" s="219">
        <f t="shared" si="27"/>
        <v>3000</v>
      </c>
    </row>
    <row r="864" spans="1:20" ht="45">
      <c r="A864" s="17" t="s">
        <v>402</v>
      </c>
      <c r="B864" s="73">
        <v>1</v>
      </c>
      <c r="C864" s="67"/>
      <c r="D864" s="212">
        <v>12</v>
      </c>
      <c r="E864" s="218">
        <f t="shared" si="26"/>
        <v>36000</v>
      </c>
      <c r="F864" s="60" t="s">
        <v>166</v>
      </c>
      <c r="G864" s="66"/>
      <c r="H864" s="66"/>
      <c r="I864" s="66"/>
      <c r="J864" s="66"/>
      <c r="K864" s="66"/>
      <c r="L864" s="66"/>
      <c r="M864" s="66"/>
      <c r="N864" s="66"/>
      <c r="O864" s="66"/>
      <c r="P864" s="64">
        <v>3000</v>
      </c>
      <c r="Q864" s="66"/>
      <c r="R864" s="66"/>
      <c r="S864" s="214"/>
      <c r="T864" s="219">
        <f t="shared" si="27"/>
        <v>3000</v>
      </c>
    </row>
    <row r="865" spans="1:20" ht="45">
      <c r="A865" s="17" t="s">
        <v>402</v>
      </c>
      <c r="B865" s="73">
        <v>1</v>
      </c>
      <c r="C865" s="67"/>
      <c r="D865" s="212">
        <v>12</v>
      </c>
      <c r="E865" s="218">
        <f t="shared" si="26"/>
        <v>36000</v>
      </c>
      <c r="F865" s="60" t="s">
        <v>166</v>
      </c>
      <c r="G865" s="66"/>
      <c r="H865" s="66"/>
      <c r="I865" s="66"/>
      <c r="J865" s="66"/>
      <c r="K865" s="66"/>
      <c r="L865" s="66"/>
      <c r="M865" s="66"/>
      <c r="N865" s="66"/>
      <c r="O865" s="66"/>
      <c r="P865" s="64">
        <v>3000</v>
      </c>
      <c r="Q865" s="66"/>
      <c r="R865" s="66"/>
      <c r="S865" s="214"/>
      <c r="T865" s="219">
        <f t="shared" si="27"/>
        <v>3000</v>
      </c>
    </row>
    <row r="866" spans="1:20" ht="33.75">
      <c r="A866" s="17" t="s">
        <v>403</v>
      </c>
      <c r="B866" s="73">
        <v>1</v>
      </c>
      <c r="C866" s="67"/>
      <c r="D866" s="212">
        <v>12</v>
      </c>
      <c r="E866" s="218">
        <f t="shared" si="26"/>
        <v>60000</v>
      </c>
      <c r="F866" s="60" t="s">
        <v>166</v>
      </c>
      <c r="G866" s="66"/>
      <c r="H866" s="66"/>
      <c r="I866" s="66"/>
      <c r="J866" s="66"/>
      <c r="K866" s="66"/>
      <c r="L866" s="66"/>
      <c r="M866" s="66"/>
      <c r="N866" s="66"/>
      <c r="O866" s="66"/>
      <c r="P866" s="64">
        <v>5000</v>
      </c>
      <c r="Q866" s="66"/>
      <c r="R866" s="66"/>
      <c r="S866" s="214"/>
      <c r="T866" s="219">
        <f t="shared" si="27"/>
        <v>5000</v>
      </c>
    </row>
    <row r="867" spans="1:20" ht="33.75">
      <c r="A867" s="17" t="s">
        <v>404</v>
      </c>
      <c r="B867" s="73">
        <v>1</v>
      </c>
      <c r="C867" s="67"/>
      <c r="D867" s="212">
        <v>12</v>
      </c>
      <c r="E867" s="218">
        <f t="shared" si="26"/>
        <v>60000</v>
      </c>
      <c r="F867" s="60" t="s">
        <v>166</v>
      </c>
      <c r="G867" s="66"/>
      <c r="H867" s="66"/>
      <c r="I867" s="66"/>
      <c r="J867" s="66"/>
      <c r="K867" s="66"/>
      <c r="L867" s="66"/>
      <c r="M867" s="66"/>
      <c r="N867" s="66"/>
      <c r="O867" s="66"/>
      <c r="P867" s="64">
        <v>5000</v>
      </c>
      <c r="Q867" s="66"/>
      <c r="R867" s="66"/>
      <c r="S867" s="214"/>
      <c r="T867" s="219">
        <f t="shared" si="27"/>
        <v>5000</v>
      </c>
    </row>
    <row r="868" spans="1:20" ht="33.75">
      <c r="A868" s="17" t="s">
        <v>313</v>
      </c>
      <c r="B868" s="73">
        <v>1</v>
      </c>
      <c r="C868" s="67"/>
      <c r="D868" s="212">
        <v>12</v>
      </c>
      <c r="E868" s="218">
        <f t="shared" si="26"/>
        <v>42000</v>
      </c>
      <c r="F868" s="60" t="s">
        <v>166</v>
      </c>
      <c r="G868" s="66"/>
      <c r="H868" s="66"/>
      <c r="I868" s="66"/>
      <c r="J868" s="66"/>
      <c r="K868" s="66"/>
      <c r="L868" s="66"/>
      <c r="M868" s="66"/>
      <c r="N868" s="66"/>
      <c r="O868" s="66"/>
      <c r="P868" s="64">
        <v>3500</v>
      </c>
      <c r="Q868" s="66"/>
      <c r="R868" s="66"/>
      <c r="S868" s="214"/>
      <c r="T868" s="219">
        <f t="shared" si="27"/>
        <v>3500</v>
      </c>
    </row>
    <row r="869" spans="1:20" ht="33.75">
      <c r="A869" s="17" t="s">
        <v>313</v>
      </c>
      <c r="B869" s="73">
        <v>1</v>
      </c>
      <c r="C869" s="67"/>
      <c r="D869" s="212">
        <v>12</v>
      </c>
      <c r="E869" s="218">
        <f t="shared" si="26"/>
        <v>42000</v>
      </c>
      <c r="F869" s="60" t="s">
        <v>166</v>
      </c>
      <c r="G869" s="66"/>
      <c r="H869" s="66"/>
      <c r="I869" s="66"/>
      <c r="J869" s="66"/>
      <c r="K869" s="66"/>
      <c r="L869" s="66"/>
      <c r="M869" s="66"/>
      <c r="N869" s="66"/>
      <c r="O869" s="66"/>
      <c r="P869" s="64">
        <v>3500</v>
      </c>
      <c r="Q869" s="66"/>
      <c r="R869" s="66"/>
      <c r="S869" s="214"/>
      <c r="T869" s="219">
        <f t="shared" si="27"/>
        <v>3500</v>
      </c>
    </row>
    <row r="870" spans="1:20" ht="22.5">
      <c r="A870" s="17" t="s">
        <v>405</v>
      </c>
      <c r="B870" s="73">
        <v>1</v>
      </c>
      <c r="C870" s="67"/>
      <c r="D870" s="212">
        <v>12</v>
      </c>
      <c r="E870" s="218">
        <f t="shared" si="26"/>
        <v>78000</v>
      </c>
      <c r="F870" s="60" t="s">
        <v>166</v>
      </c>
      <c r="G870" s="66"/>
      <c r="H870" s="66"/>
      <c r="I870" s="66"/>
      <c r="J870" s="66"/>
      <c r="K870" s="66"/>
      <c r="L870" s="66"/>
      <c r="M870" s="66"/>
      <c r="N870" s="66"/>
      <c r="O870" s="66"/>
      <c r="P870" s="64">
        <v>6500</v>
      </c>
      <c r="Q870" s="66"/>
      <c r="R870" s="66"/>
      <c r="S870" s="214"/>
      <c r="T870" s="219">
        <f t="shared" si="27"/>
        <v>6500</v>
      </c>
    </row>
    <row r="871" spans="1:20" ht="22.5">
      <c r="A871" s="17" t="s">
        <v>405</v>
      </c>
      <c r="B871" s="73">
        <v>1</v>
      </c>
      <c r="C871" s="67"/>
      <c r="D871" s="212">
        <v>12</v>
      </c>
      <c r="E871" s="218">
        <f t="shared" si="26"/>
        <v>78000</v>
      </c>
      <c r="F871" s="60" t="s">
        <v>166</v>
      </c>
      <c r="G871" s="66"/>
      <c r="H871" s="66"/>
      <c r="I871" s="66"/>
      <c r="J871" s="66"/>
      <c r="K871" s="66"/>
      <c r="L871" s="66"/>
      <c r="M871" s="66"/>
      <c r="N871" s="66"/>
      <c r="O871" s="66"/>
      <c r="P871" s="64">
        <v>6500</v>
      </c>
      <c r="Q871" s="66"/>
      <c r="R871" s="66"/>
      <c r="S871" s="214"/>
      <c r="T871" s="219">
        <f t="shared" si="27"/>
        <v>6500</v>
      </c>
    </row>
    <row r="872" spans="1:20" ht="22.5">
      <c r="A872" s="17" t="s">
        <v>405</v>
      </c>
      <c r="B872" s="73">
        <v>1</v>
      </c>
      <c r="C872" s="67"/>
      <c r="D872" s="212">
        <v>12</v>
      </c>
      <c r="E872" s="218">
        <f t="shared" si="26"/>
        <v>84000</v>
      </c>
      <c r="F872" s="60" t="s">
        <v>166</v>
      </c>
      <c r="G872" s="66"/>
      <c r="H872" s="66"/>
      <c r="I872" s="66"/>
      <c r="J872" s="66"/>
      <c r="K872" s="66"/>
      <c r="L872" s="66"/>
      <c r="M872" s="66"/>
      <c r="N872" s="66"/>
      <c r="O872" s="66"/>
      <c r="P872" s="64">
        <v>7000</v>
      </c>
      <c r="Q872" s="66"/>
      <c r="R872" s="66"/>
      <c r="S872" s="214"/>
      <c r="T872" s="219">
        <f t="shared" si="27"/>
        <v>7000</v>
      </c>
    </row>
    <row r="873" spans="1:20" ht="22.5">
      <c r="A873" s="17" t="s">
        <v>406</v>
      </c>
      <c r="B873" s="73">
        <v>1</v>
      </c>
      <c r="C873" s="67"/>
      <c r="D873" s="212">
        <v>12</v>
      </c>
      <c r="E873" s="218">
        <f t="shared" si="26"/>
        <v>84000</v>
      </c>
      <c r="F873" s="60" t="s">
        <v>166</v>
      </c>
      <c r="G873" s="66"/>
      <c r="H873" s="66"/>
      <c r="I873" s="66"/>
      <c r="J873" s="66"/>
      <c r="K873" s="66"/>
      <c r="L873" s="66"/>
      <c r="M873" s="66"/>
      <c r="N873" s="66"/>
      <c r="O873" s="66"/>
      <c r="P873" s="64">
        <v>7000</v>
      </c>
      <c r="Q873" s="66"/>
      <c r="R873" s="66"/>
      <c r="S873" s="214"/>
      <c r="T873" s="219">
        <f t="shared" si="27"/>
        <v>7000</v>
      </c>
    </row>
    <row r="874" spans="1:20" ht="22.5">
      <c r="A874" s="17" t="s">
        <v>406</v>
      </c>
      <c r="B874" s="73">
        <v>1</v>
      </c>
      <c r="C874" s="67"/>
      <c r="D874" s="212">
        <v>12</v>
      </c>
      <c r="E874" s="218">
        <f t="shared" si="26"/>
        <v>72000</v>
      </c>
      <c r="F874" s="60" t="s">
        <v>166</v>
      </c>
      <c r="G874" s="66"/>
      <c r="H874" s="66"/>
      <c r="I874" s="66"/>
      <c r="J874" s="66"/>
      <c r="K874" s="66"/>
      <c r="L874" s="66"/>
      <c r="M874" s="66"/>
      <c r="N874" s="66"/>
      <c r="O874" s="66"/>
      <c r="P874" s="64">
        <v>6000</v>
      </c>
      <c r="Q874" s="66"/>
      <c r="R874" s="66"/>
      <c r="S874" s="214"/>
      <c r="T874" s="219">
        <f t="shared" si="27"/>
        <v>6000</v>
      </c>
    </row>
    <row r="875" spans="1:20" ht="33.75">
      <c r="A875" s="17" t="s">
        <v>407</v>
      </c>
      <c r="B875" s="73">
        <v>1</v>
      </c>
      <c r="C875" s="67"/>
      <c r="D875" s="212">
        <v>12</v>
      </c>
      <c r="E875" s="218">
        <f t="shared" si="26"/>
        <v>60000</v>
      </c>
      <c r="F875" s="60" t="s">
        <v>166</v>
      </c>
      <c r="G875" s="66"/>
      <c r="H875" s="66"/>
      <c r="I875" s="66"/>
      <c r="J875" s="66"/>
      <c r="K875" s="66"/>
      <c r="L875" s="66"/>
      <c r="M875" s="66"/>
      <c r="N875" s="66"/>
      <c r="O875" s="66"/>
      <c r="P875" s="64">
        <v>5000</v>
      </c>
      <c r="Q875" s="66"/>
      <c r="R875" s="66"/>
      <c r="S875" s="214"/>
      <c r="T875" s="219">
        <f t="shared" si="27"/>
        <v>5000</v>
      </c>
    </row>
    <row r="876" spans="1:20" ht="33.75">
      <c r="A876" s="17" t="s">
        <v>407</v>
      </c>
      <c r="B876" s="73">
        <v>1</v>
      </c>
      <c r="C876" s="67"/>
      <c r="D876" s="212">
        <v>12</v>
      </c>
      <c r="E876" s="218">
        <f t="shared" si="26"/>
        <v>60000</v>
      </c>
      <c r="F876" s="60" t="s">
        <v>166</v>
      </c>
      <c r="G876" s="66"/>
      <c r="H876" s="66"/>
      <c r="I876" s="66"/>
      <c r="J876" s="66"/>
      <c r="K876" s="66"/>
      <c r="L876" s="66"/>
      <c r="M876" s="66"/>
      <c r="N876" s="66"/>
      <c r="O876" s="66"/>
      <c r="P876" s="64">
        <v>5000</v>
      </c>
      <c r="Q876" s="66"/>
      <c r="R876" s="66"/>
      <c r="S876" s="214"/>
      <c r="T876" s="219">
        <f t="shared" si="27"/>
        <v>5000</v>
      </c>
    </row>
    <row r="877" spans="1:20" ht="33.75">
      <c r="A877" s="17" t="s">
        <v>408</v>
      </c>
      <c r="B877" s="73">
        <v>1</v>
      </c>
      <c r="C877" s="67"/>
      <c r="D877" s="212">
        <v>12</v>
      </c>
      <c r="E877" s="218">
        <f t="shared" si="26"/>
        <v>60000</v>
      </c>
      <c r="F877" s="60" t="s">
        <v>166</v>
      </c>
      <c r="G877" s="66"/>
      <c r="H877" s="66"/>
      <c r="I877" s="66"/>
      <c r="J877" s="66"/>
      <c r="K877" s="66"/>
      <c r="L877" s="66"/>
      <c r="M877" s="66"/>
      <c r="N877" s="66"/>
      <c r="O877" s="66"/>
      <c r="P877" s="64">
        <v>5000</v>
      </c>
      <c r="Q877" s="66"/>
      <c r="R877" s="66"/>
      <c r="S877" s="214"/>
      <c r="T877" s="219">
        <f t="shared" si="27"/>
        <v>5000</v>
      </c>
    </row>
    <row r="878" spans="1:20" ht="22.5">
      <c r="A878" s="17" t="s">
        <v>330</v>
      </c>
      <c r="B878" s="73">
        <v>1</v>
      </c>
      <c r="C878" s="67"/>
      <c r="D878" s="212">
        <v>12</v>
      </c>
      <c r="E878" s="218">
        <f t="shared" si="26"/>
        <v>132000</v>
      </c>
      <c r="F878" s="60" t="s">
        <v>166</v>
      </c>
      <c r="G878" s="66"/>
      <c r="H878" s="66"/>
      <c r="I878" s="66"/>
      <c r="J878" s="66"/>
      <c r="K878" s="66"/>
      <c r="L878" s="66"/>
      <c r="M878" s="66"/>
      <c r="N878" s="66"/>
      <c r="O878" s="66"/>
      <c r="P878" s="64">
        <v>11000</v>
      </c>
      <c r="Q878" s="66"/>
      <c r="R878" s="66"/>
      <c r="S878" s="214"/>
      <c r="T878" s="219">
        <f t="shared" si="27"/>
        <v>11000</v>
      </c>
    </row>
    <row r="879" spans="1:20" ht="22.5">
      <c r="A879" s="17" t="s">
        <v>346</v>
      </c>
      <c r="B879" s="73">
        <v>1</v>
      </c>
      <c r="C879" s="67"/>
      <c r="D879" s="212">
        <v>12</v>
      </c>
      <c r="E879" s="218">
        <f t="shared" si="26"/>
        <v>120000</v>
      </c>
      <c r="F879" s="60" t="s">
        <v>166</v>
      </c>
      <c r="G879" s="66"/>
      <c r="H879" s="66"/>
      <c r="I879" s="66"/>
      <c r="J879" s="66"/>
      <c r="K879" s="66"/>
      <c r="L879" s="66"/>
      <c r="M879" s="66"/>
      <c r="N879" s="66"/>
      <c r="O879" s="66"/>
      <c r="P879" s="64">
        <v>10000</v>
      </c>
      <c r="Q879" s="66"/>
      <c r="R879" s="66"/>
      <c r="S879" s="214"/>
      <c r="T879" s="219">
        <f t="shared" si="27"/>
        <v>10000</v>
      </c>
    </row>
    <row r="880" spans="1:20" ht="33.75">
      <c r="A880" s="17" t="s">
        <v>409</v>
      </c>
      <c r="B880" s="73">
        <v>1</v>
      </c>
      <c r="C880" s="67"/>
      <c r="D880" s="212">
        <v>12</v>
      </c>
      <c r="E880" s="218">
        <f t="shared" si="26"/>
        <v>180000</v>
      </c>
      <c r="F880" s="60" t="s">
        <v>166</v>
      </c>
      <c r="G880" s="66"/>
      <c r="H880" s="66"/>
      <c r="I880" s="66"/>
      <c r="J880" s="66"/>
      <c r="K880" s="66"/>
      <c r="L880" s="66"/>
      <c r="M880" s="66"/>
      <c r="N880" s="66"/>
      <c r="O880" s="66"/>
      <c r="P880" s="64">
        <v>15000</v>
      </c>
      <c r="Q880" s="66"/>
      <c r="R880" s="66"/>
      <c r="S880" s="214"/>
      <c r="T880" s="219">
        <f t="shared" si="27"/>
        <v>15000</v>
      </c>
    </row>
    <row r="881" spans="1:20" ht="33.75">
      <c r="A881" s="17" t="s">
        <v>409</v>
      </c>
      <c r="B881" s="73">
        <v>1</v>
      </c>
      <c r="C881" s="67"/>
      <c r="D881" s="212">
        <v>12</v>
      </c>
      <c r="E881" s="218">
        <f t="shared" si="26"/>
        <v>120000</v>
      </c>
      <c r="F881" s="60" t="s">
        <v>166</v>
      </c>
      <c r="G881" s="66"/>
      <c r="H881" s="66"/>
      <c r="I881" s="66"/>
      <c r="J881" s="66"/>
      <c r="K881" s="66"/>
      <c r="L881" s="66"/>
      <c r="M881" s="66"/>
      <c r="N881" s="66"/>
      <c r="O881" s="66"/>
      <c r="P881" s="64">
        <v>10000</v>
      </c>
      <c r="Q881" s="66"/>
      <c r="R881" s="66"/>
      <c r="S881" s="214"/>
      <c r="T881" s="219">
        <f t="shared" si="27"/>
        <v>10000</v>
      </c>
    </row>
    <row r="882" spans="1:20" ht="33.75">
      <c r="A882" s="17" t="s">
        <v>410</v>
      </c>
      <c r="B882" s="73">
        <v>1</v>
      </c>
      <c r="C882" s="67"/>
      <c r="D882" s="212">
        <v>12</v>
      </c>
      <c r="E882" s="218">
        <f t="shared" si="26"/>
        <v>60000</v>
      </c>
      <c r="F882" s="60" t="s">
        <v>166</v>
      </c>
      <c r="G882" s="66"/>
      <c r="H882" s="66"/>
      <c r="I882" s="66"/>
      <c r="J882" s="66"/>
      <c r="K882" s="66"/>
      <c r="L882" s="66"/>
      <c r="M882" s="66"/>
      <c r="N882" s="66"/>
      <c r="O882" s="66"/>
      <c r="P882" s="64">
        <v>5000</v>
      </c>
      <c r="Q882" s="66"/>
      <c r="R882" s="66"/>
      <c r="S882" s="214"/>
      <c r="T882" s="219">
        <f t="shared" si="27"/>
        <v>5000</v>
      </c>
    </row>
    <row r="883" spans="1:20" ht="33.75">
      <c r="A883" s="17" t="s">
        <v>411</v>
      </c>
      <c r="B883" s="73">
        <v>1</v>
      </c>
      <c r="C883" s="67"/>
      <c r="D883" s="212">
        <v>12</v>
      </c>
      <c r="E883" s="218">
        <f t="shared" si="26"/>
        <v>120000</v>
      </c>
      <c r="F883" s="60" t="s">
        <v>166</v>
      </c>
      <c r="G883" s="66"/>
      <c r="H883" s="66"/>
      <c r="I883" s="66"/>
      <c r="J883" s="66"/>
      <c r="K883" s="66"/>
      <c r="L883" s="66"/>
      <c r="M883" s="66"/>
      <c r="N883" s="66"/>
      <c r="O883" s="66"/>
      <c r="P883" s="64">
        <v>10000</v>
      </c>
      <c r="Q883" s="66"/>
      <c r="R883" s="66"/>
      <c r="S883" s="214"/>
      <c r="T883" s="219">
        <f t="shared" si="27"/>
        <v>10000</v>
      </c>
    </row>
    <row r="884" spans="1:20" ht="33.75">
      <c r="A884" s="17" t="s">
        <v>410</v>
      </c>
      <c r="B884" s="73">
        <v>1</v>
      </c>
      <c r="C884" s="67"/>
      <c r="D884" s="212">
        <v>12</v>
      </c>
      <c r="E884" s="218">
        <f t="shared" si="26"/>
        <v>72000</v>
      </c>
      <c r="F884" s="60" t="s">
        <v>166</v>
      </c>
      <c r="G884" s="66"/>
      <c r="H884" s="66"/>
      <c r="I884" s="66"/>
      <c r="J884" s="66"/>
      <c r="K884" s="66"/>
      <c r="L884" s="66"/>
      <c r="M884" s="66"/>
      <c r="N884" s="66"/>
      <c r="O884" s="66"/>
      <c r="P884" s="64">
        <v>6000</v>
      </c>
      <c r="Q884" s="66"/>
      <c r="R884" s="66"/>
      <c r="S884" s="214"/>
      <c r="T884" s="219">
        <f t="shared" si="27"/>
        <v>6000</v>
      </c>
    </row>
    <row r="885" spans="1:20" ht="33.75">
      <c r="A885" s="17" t="s">
        <v>410</v>
      </c>
      <c r="B885" s="73">
        <v>1</v>
      </c>
      <c r="C885" s="67"/>
      <c r="D885" s="212">
        <v>12</v>
      </c>
      <c r="E885" s="218">
        <f t="shared" si="26"/>
        <v>72000</v>
      </c>
      <c r="F885" s="60" t="s">
        <v>166</v>
      </c>
      <c r="G885" s="66"/>
      <c r="H885" s="66"/>
      <c r="I885" s="66"/>
      <c r="J885" s="66"/>
      <c r="K885" s="66"/>
      <c r="L885" s="66"/>
      <c r="M885" s="66"/>
      <c r="N885" s="66"/>
      <c r="O885" s="66"/>
      <c r="P885" s="64">
        <v>6000</v>
      </c>
      <c r="Q885" s="66"/>
      <c r="R885" s="66"/>
      <c r="S885" s="214"/>
      <c r="T885" s="219">
        <f t="shared" si="27"/>
        <v>6000</v>
      </c>
    </row>
    <row r="886" spans="1:20" ht="22.5">
      <c r="A886" s="17" t="s">
        <v>406</v>
      </c>
      <c r="B886" s="73">
        <v>1</v>
      </c>
      <c r="C886" s="67"/>
      <c r="D886" s="212">
        <v>12</v>
      </c>
      <c r="E886" s="218">
        <f t="shared" si="26"/>
        <v>84000</v>
      </c>
      <c r="F886" s="60" t="s">
        <v>166</v>
      </c>
      <c r="G886" s="66"/>
      <c r="H886" s="66"/>
      <c r="I886" s="66"/>
      <c r="J886" s="66"/>
      <c r="K886" s="66"/>
      <c r="L886" s="66"/>
      <c r="M886" s="66"/>
      <c r="N886" s="66"/>
      <c r="O886" s="66"/>
      <c r="P886" s="64">
        <v>7000</v>
      </c>
      <c r="Q886" s="66"/>
      <c r="R886" s="66"/>
      <c r="S886" s="214"/>
      <c r="T886" s="219">
        <f t="shared" si="27"/>
        <v>7000</v>
      </c>
    </row>
    <row r="887" spans="1:20" ht="22.5">
      <c r="A887" s="17" t="s">
        <v>412</v>
      </c>
      <c r="B887" s="73">
        <v>1</v>
      </c>
      <c r="C887" s="67"/>
      <c r="D887" s="212">
        <v>12</v>
      </c>
      <c r="E887" s="218">
        <f t="shared" si="26"/>
        <v>48000</v>
      </c>
      <c r="F887" s="60" t="s">
        <v>166</v>
      </c>
      <c r="G887" s="66"/>
      <c r="H887" s="66"/>
      <c r="I887" s="66"/>
      <c r="J887" s="66"/>
      <c r="K887" s="66"/>
      <c r="L887" s="66"/>
      <c r="M887" s="66"/>
      <c r="N887" s="66"/>
      <c r="O887" s="66"/>
      <c r="P887" s="64">
        <v>4000</v>
      </c>
      <c r="Q887" s="66"/>
      <c r="R887" s="66"/>
      <c r="S887" s="214"/>
      <c r="T887" s="219">
        <f t="shared" si="27"/>
        <v>4000</v>
      </c>
    </row>
    <row r="888" spans="1:20" ht="22.5">
      <c r="A888" s="17" t="s">
        <v>412</v>
      </c>
      <c r="B888" s="73">
        <v>1</v>
      </c>
      <c r="C888" s="67"/>
      <c r="D888" s="212">
        <v>12</v>
      </c>
      <c r="E888" s="218">
        <f t="shared" si="26"/>
        <v>36000</v>
      </c>
      <c r="F888" s="60" t="s">
        <v>166</v>
      </c>
      <c r="G888" s="66"/>
      <c r="H888" s="66"/>
      <c r="I888" s="66"/>
      <c r="J888" s="66"/>
      <c r="K888" s="66"/>
      <c r="L888" s="66"/>
      <c r="M888" s="66"/>
      <c r="N888" s="66"/>
      <c r="O888" s="66"/>
      <c r="P888" s="64">
        <v>3000</v>
      </c>
      <c r="Q888" s="66"/>
      <c r="R888" s="66"/>
      <c r="S888" s="214"/>
      <c r="T888" s="219">
        <f t="shared" si="27"/>
        <v>3000</v>
      </c>
    </row>
    <row r="889" spans="1:20" ht="33.75">
      <c r="A889" s="17" t="s">
        <v>413</v>
      </c>
      <c r="B889" s="73">
        <v>1</v>
      </c>
      <c r="C889" s="67"/>
      <c r="D889" s="212">
        <v>12</v>
      </c>
      <c r="E889" s="218">
        <f t="shared" si="26"/>
        <v>36000</v>
      </c>
      <c r="F889" s="60" t="s">
        <v>166</v>
      </c>
      <c r="G889" s="66"/>
      <c r="H889" s="66"/>
      <c r="I889" s="66"/>
      <c r="J889" s="66"/>
      <c r="K889" s="66"/>
      <c r="L889" s="66"/>
      <c r="M889" s="66"/>
      <c r="N889" s="66"/>
      <c r="O889" s="66"/>
      <c r="P889" s="64">
        <v>3000</v>
      </c>
      <c r="Q889" s="66"/>
      <c r="R889" s="66"/>
      <c r="S889" s="214"/>
      <c r="T889" s="219">
        <f t="shared" si="27"/>
        <v>3000</v>
      </c>
    </row>
    <row r="890" spans="1:20" ht="45">
      <c r="A890" s="17" t="s">
        <v>414</v>
      </c>
      <c r="B890" s="73">
        <v>1</v>
      </c>
      <c r="C890" s="67"/>
      <c r="D890" s="212">
        <v>12</v>
      </c>
      <c r="E890" s="218">
        <f t="shared" si="26"/>
        <v>48000</v>
      </c>
      <c r="F890" s="60" t="s">
        <v>166</v>
      </c>
      <c r="G890" s="66"/>
      <c r="H890" s="66"/>
      <c r="I890" s="66"/>
      <c r="J890" s="66"/>
      <c r="K890" s="66"/>
      <c r="L890" s="66"/>
      <c r="M890" s="66"/>
      <c r="N890" s="66"/>
      <c r="O890" s="66"/>
      <c r="P890" s="64">
        <v>4000</v>
      </c>
      <c r="Q890" s="66"/>
      <c r="R890" s="66"/>
      <c r="S890" s="214"/>
      <c r="T890" s="219">
        <f t="shared" si="27"/>
        <v>4000</v>
      </c>
    </row>
    <row r="891" spans="1:20" ht="45">
      <c r="A891" s="17" t="s">
        <v>414</v>
      </c>
      <c r="B891" s="73">
        <v>1</v>
      </c>
      <c r="C891" s="67"/>
      <c r="D891" s="212">
        <v>12</v>
      </c>
      <c r="E891" s="218">
        <f t="shared" si="26"/>
        <v>72000</v>
      </c>
      <c r="F891" s="60" t="s">
        <v>166</v>
      </c>
      <c r="G891" s="66"/>
      <c r="H891" s="66"/>
      <c r="I891" s="66"/>
      <c r="J891" s="66"/>
      <c r="K891" s="66"/>
      <c r="L891" s="66"/>
      <c r="M891" s="66"/>
      <c r="N891" s="66"/>
      <c r="O891" s="66"/>
      <c r="P891" s="64">
        <v>6000</v>
      </c>
      <c r="Q891" s="66"/>
      <c r="R891" s="66"/>
      <c r="S891" s="214"/>
      <c r="T891" s="219">
        <f t="shared" si="27"/>
        <v>6000</v>
      </c>
    </row>
    <row r="892" spans="1:20" ht="33.75">
      <c r="A892" s="17" t="s">
        <v>413</v>
      </c>
      <c r="B892" s="73">
        <v>1</v>
      </c>
      <c r="C892" s="67"/>
      <c r="D892" s="212">
        <v>12</v>
      </c>
      <c r="E892" s="218">
        <f t="shared" si="26"/>
        <v>48000</v>
      </c>
      <c r="F892" s="60" t="s">
        <v>166</v>
      </c>
      <c r="G892" s="66"/>
      <c r="H892" s="66"/>
      <c r="I892" s="66"/>
      <c r="J892" s="66"/>
      <c r="K892" s="66"/>
      <c r="L892" s="66"/>
      <c r="M892" s="66"/>
      <c r="N892" s="66"/>
      <c r="O892" s="66"/>
      <c r="P892" s="64">
        <v>4000</v>
      </c>
      <c r="Q892" s="66"/>
      <c r="R892" s="66"/>
      <c r="S892" s="214"/>
      <c r="T892" s="219">
        <f t="shared" si="27"/>
        <v>4000</v>
      </c>
    </row>
    <row r="893" spans="1:20" ht="22.5">
      <c r="A893" s="17" t="s">
        <v>415</v>
      </c>
      <c r="B893" s="73">
        <v>1</v>
      </c>
      <c r="C893" s="67"/>
      <c r="D893" s="212">
        <v>12</v>
      </c>
      <c r="E893" s="218">
        <f t="shared" si="26"/>
        <v>42000</v>
      </c>
      <c r="F893" s="60" t="s">
        <v>166</v>
      </c>
      <c r="G893" s="66"/>
      <c r="H893" s="66"/>
      <c r="I893" s="66"/>
      <c r="J893" s="66"/>
      <c r="K893" s="66"/>
      <c r="L893" s="66"/>
      <c r="M893" s="66"/>
      <c r="N893" s="66"/>
      <c r="O893" s="66"/>
      <c r="P893" s="64">
        <v>3500</v>
      </c>
      <c r="Q893" s="66"/>
      <c r="R893" s="66"/>
      <c r="S893" s="214"/>
      <c r="T893" s="219">
        <f t="shared" si="27"/>
        <v>3500</v>
      </c>
    </row>
    <row r="894" spans="1:20" ht="33.75">
      <c r="A894" s="17" t="s">
        <v>416</v>
      </c>
      <c r="B894" s="73">
        <v>1</v>
      </c>
      <c r="C894" s="67"/>
      <c r="D894" s="212">
        <v>12</v>
      </c>
      <c r="E894" s="218">
        <f t="shared" si="26"/>
        <v>72000</v>
      </c>
      <c r="F894" s="60" t="s">
        <v>166</v>
      </c>
      <c r="G894" s="66"/>
      <c r="H894" s="66"/>
      <c r="I894" s="66"/>
      <c r="J894" s="66"/>
      <c r="K894" s="66"/>
      <c r="L894" s="66"/>
      <c r="M894" s="66"/>
      <c r="N894" s="66"/>
      <c r="O894" s="66"/>
      <c r="P894" s="64">
        <v>6000</v>
      </c>
      <c r="Q894" s="66"/>
      <c r="R894" s="66"/>
      <c r="S894" s="214"/>
      <c r="T894" s="219">
        <f t="shared" si="27"/>
        <v>6000</v>
      </c>
    </row>
    <row r="895" spans="1:20" ht="33.75">
      <c r="A895" s="17" t="s">
        <v>416</v>
      </c>
      <c r="B895" s="73">
        <v>1</v>
      </c>
      <c r="C895" s="67"/>
      <c r="D895" s="212">
        <v>12</v>
      </c>
      <c r="E895" s="218">
        <f t="shared" si="26"/>
        <v>88200</v>
      </c>
      <c r="F895" s="60" t="s">
        <v>166</v>
      </c>
      <c r="G895" s="66"/>
      <c r="H895" s="66"/>
      <c r="I895" s="66"/>
      <c r="J895" s="66"/>
      <c r="K895" s="66"/>
      <c r="L895" s="66"/>
      <c r="M895" s="66"/>
      <c r="N895" s="66"/>
      <c r="O895" s="66"/>
      <c r="P895" s="64">
        <v>7350</v>
      </c>
      <c r="Q895" s="66"/>
      <c r="R895" s="66"/>
      <c r="S895" s="214"/>
      <c r="T895" s="219">
        <f t="shared" si="27"/>
        <v>7350</v>
      </c>
    </row>
    <row r="896" spans="1:20" ht="22.5">
      <c r="A896" s="17" t="s">
        <v>417</v>
      </c>
      <c r="B896" s="73">
        <v>1</v>
      </c>
      <c r="C896" s="67"/>
      <c r="D896" s="212">
        <v>12</v>
      </c>
      <c r="E896" s="218">
        <f t="shared" si="26"/>
        <v>96000</v>
      </c>
      <c r="F896" s="60" t="s">
        <v>166</v>
      </c>
      <c r="G896" s="66"/>
      <c r="H896" s="66"/>
      <c r="I896" s="66"/>
      <c r="J896" s="66"/>
      <c r="K896" s="66"/>
      <c r="L896" s="66"/>
      <c r="M896" s="66"/>
      <c r="N896" s="66"/>
      <c r="O896" s="66"/>
      <c r="P896" s="64">
        <v>8000</v>
      </c>
      <c r="Q896" s="66"/>
      <c r="R896" s="66"/>
      <c r="S896" s="214"/>
      <c r="T896" s="219">
        <f t="shared" si="27"/>
        <v>8000</v>
      </c>
    </row>
    <row r="897" spans="1:20" ht="22.5">
      <c r="A897" s="17" t="s">
        <v>353</v>
      </c>
      <c r="B897" s="73">
        <v>1</v>
      </c>
      <c r="C897" s="67"/>
      <c r="D897" s="212">
        <v>12</v>
      </c>
      <c r="E897" s="218">
        <f t="shared" si="26"/>
        <v>294000</v>
      </c>
      <c r="F897" s="60" t="s">
        <v>166</v>
      </c>
      <c r="G897" s="66"/>
      <c r="H897" s="66"/>
      <c r="I897" s="66"/>
      <c r="J897" s="66"/>
      <c r="K897" s="66"/>
      <c r="L897" s="66"/>
      <c r="M897" s="66"/>
      <c r="N897" s="66"/>
      <c r="O897" s="66"/>
      <c r="P897" s="64">
        <v>24500</v>
      </c>
      <c r="Q897" s="66"/>
      <c r="R897" s="66"/>
      <c r="S897" s="214"/>
      <c r="T897" s="219">
        <f t="shared" si="27"/>
        <v>24500</v>
      </c>
    </row>
    <row r="898" spans="1:20" ht="22.5">
      <c r="A898" s="17" t="s">
        <v>417</v>
      </c>
      <c r="B898" s="73">
        <v>1</v>
      </c>
      <c r="C898" s="67"/>
      <c r="D898" s="212">
        <v>12</v>
      </c>
      <c r="E898" s="218">
        <f t="shared" si="26"/>
        <v>72000</v>
      </c>
      <c r="F898" s="60" t="s">
        <v>166</v>
      </c>
      <c r="G898" s="66"/>
      <c r="H898" s="66"/>
      <c r="I898" s="66"/>
      <c r="J898" s="66"/>
      <c r="K898" s="66"/>
      <c r="L898" s="66"/>
      <c r="M898" s="66"/>
      <c r="N898" s="66"/>
      <c r="O898" s="66"/>
      <c r="P898" s="64">
        <v>6000</v>
      </c>
      <c r="Q898" s="66"/>
      <c r="R898" s="66"/>
      <c r="S898" s="214"/>
      <c r="T898" s="219">
        <f t="shared" si="27"/>
        <v>6000</v>
      </c>
    </row>
    <row r="899" spans="1:20" ht="22.5">
      <c r="A899" s="17" t="s">
        <v>368</v>
      </c>
      <c r="B899" s="73">
        <v>1</v>
      </c>
      <c r="C899" s="67"/>
      <c r="D899" s="212">
        <v>12</v>
      </c>
      <c r="E899" s="218">
        <f t="shared" si="26"/>
        <v>72000</v>
      </c>
      <c r="F899" s="60" t="s">
        <v>166</v>
      </c>
      <c r="G899" s="66"/>
      <c r="H899" s="66"/>
      <c r="I899" s="66"/>
      <c r="J899" s="66"/>
      <c r="K899" s="66"/>
      <c r="L899" s="66"/>
      <c r="M899" s="66"/>
      <c r="N899" s="66"/>
      <c r="O899" s="66"/>
      <c r="P899" s="64">
        <v>6000</v>
      </c>
      <c r="Q899" s="66"/>
      <c r="R899" s="66"/>
      <c r="S899" s="214"/>
      <c r="T899" s="219">
        <f t="shared" si="27"/>
        <v>6000</v>
      </c>
    </row>
    <row r="900" spans="1:20" ht="33.75">
      <c r="A900" s="17" t="s">
        <v>416</v>
      </c>
      <c r="B900" s="73">
        <v>1</v>
      </c>
      <c r="C900" s="67"/>
      <c r="D900" s="212">
        <v>12</v>
      </c>
      <c r="E900" s="218">
        <f t="shared" si="26"/>
        <v>72000</v>
      </c>
      <c r="F900" s="60" t="s">
        <v>166</v>
      </c>
      <c r="G900" s="66"/>
      <c r="H900" s="66"/>
      <c r="I900" s="66"/>
      <c r="J900" s="66"/>
      <c r="K900" s="66"/>
      <c r="L900" s="66"/>
      <c r="M900" s="66"/>
      <c r="N900" s="66"/>
      <c r="O900" s="66"/>
      <c r="P900" s="64">
        <v>6000</v>
      </c>
      <c r="Q900" s="66"/>
      <c r="R900" s="66"/>
      <c r="S900" s="214"/>
      <c r="T900" s="219">
        <f t="shared" si="27"/>
        <v>6000</v>
      </c>
    </row>
    <row r="901" spans="1:20" ht="33.75">
      <c r="A901" s="17" t="s">
        <v>418</v>
      </c>
      <c r="B901" s="73">
        <v>1</v>
      </c>
      <c r="C901" s="67"/>
      <c r="D901" s="212">
        <v>12</v>
      </c>
      <c r="E901" s="218">
        <f t="shared" si="26"/>
        <v>36000</v>
      </c>
      <c r="F901" s="60" t="s">
        <v>166</v>
      </c>
      <c r="G901" s="66"/>
      <c r="H901" s="66"/>
      <c r="I901" s="66"/>
      <c r="J901" s="66"/>
      <c r="K901" s="66"/>
      <c r="L901" s="66"/>
      <c r="M901" s="66"/>
      <c r="N901" s="66"/>
      <c r="O901" s="66"/>
      <c r="P901" s="64">
        <v>3000</v>
      </c>
      <c r="Q901" s="66"/>
      <c r="R901" s="66"/>
      <c r="S901" s="214"/>
      <c r="T901" s="219">
        <f t="shared" si="27"/>
        <v>3000</v>
      </c>
    </row>
    <row r="902" spans="1:20" ht="22.5">
      <c r="A902" s="17" t="s">
        <v>363</v>
      </c>
      <c r="B902" s="73">
        <v>1</v>
      </c>
      <c r="C902" s="67"/>
      <c r="D902" s="212">
        <v>12</v>
      </c>
      <c r="E902" s="218">
        <f t="shared" si="26"/>
        <v>108000</v>
      </c>
      <c r="F902" s="60" t="s">
        <v>166</v>
      </c>
      <c r="G902" s="66"/>
      <c r="H902" s="66"/>
      <c r="I902" s="66"/>
      <c r="J902" s="66"/>
      <c r="K902" s="66"/>
      <c r="L902" s="66"/>
      <c r="M902" s="66"/>
      <c r="N902" s="66"/>
      <c r="O902" s="66"/>
      <c r="P902" s="64">
        <v>9000</v>
      </c>
      <c r="Q902" s="66"/>
      <c r="R902" s="66"/>
      <c r="S902" s="214"/>
      <c r="T902" s="219">
        <f t="shared" si="27"/>
        <v>9000</v>
      </c>
    </row>
    <row r="903" spans="1:20" ht="22.5">
      <c r="A903" s="17" t="s">
        <v>368</v>
      </c>
      <c r="B903" s="73">
        <v>1</v>
      </c>
      <c r="C903" s="67"/>
      <c r="D903" s="212">
        <v>12</v>
      </c>
      <c r="E903" s="218">
        <f t="shared" ref="E903:E966" si="28">T903*12</f>
        <v>48000</v>
      </c>
      <c r="F903" s="60" t="s">
        <v>166</v>
      </c>
      <c r="G903" s="66"/>
      <c r="H903" s="66"/>
      <c r="I903" s="66"/>
      <c r="J903" s="66"/>
      <c r="K903" s="66"/>
      <c r="L903" s="66"/>
      <c r="M903" s="66"/>
      <c r="N903" s="66"/>
      <c r="O903" s="66"/>
      <c r="P903" s="64">
        <v>4000</v>
      </c>
      <c r="Q903" s="66"/>
      <c r="R903" s="66"/>
      <c r="S903" s="214"/>
      <c r="T903" s="219">
        <f t="shared" si="27"/>
        <v>4000</v>
      </c>
    </row>
    <row r="904" spans="1:20" ht="22.5">
      <c r="A904" s="17" t="s">
        <v>368</v>
      </c>
      <c r="B904" s="73">
        <v>1</v>
      </c>
      <c r="C904" s="67"/>
      <c r="D904" s="212">
        <v>12</v>
      </c>
      <c r="E904" s="218">
        <f t="shared" si="28"/>
        <v>126000</v>
      </c>
      <c r="F904" s="60" t="s">
        <v>166</v>
      </c>
      <c r="G904" s="66"/>
      <c r="H904" s="66"/>
      <c r="I904" s="66"/>
      <c r="J904" s="66"/>
      <c r="K904" s="66"/>
      <c r="L904" s="66"/>
      <c r="M904" s="66"/>
      <c r="N904" s="66"/>
      <c r="O904" s="66"/>
      <c r="P904" s="64">
        <v>10500</v>
      </c>
      <c r="Q904" s="66"/>
      <c r="R904" s="66"/>
      <c r="S904" s="214"/>
      <c r="T904" s="219">
        <f t="shared" ref="T904:T967" si="29">SUM(G904:S904)</f>
        <v>10500</v>
      </c>
    </row>
    <row r="905" spans="1:20" ht="22.5">
      <c r="A905" s="17" t="s">
        <v>368</v>
      </c>
      <c r="B905" s="73">
        <v>1</v>
      </c>
      <c r="C905" s="67"/>
      <c r="D905" s="212">
        <v>12</v>
      </c>
      <c r="E905" s="218">
        <f t="shared" si="28"/>
        <v>48000</v>
      </c>
      <c r="F905" s="60" t="s">
        <v>166</v>
      </c>
      <c r="G905" s="66"/>
      <c r="H905" s="66"/>
      <c r="I905" s="66"/>
      <c r="J905" s="66"/>
      <c r="K905" s="66"/>
      <c r="L905" s="66"/>
      <c r="M905" s="66"/>
      <c r="N905" s="66"/>
      <c r="O905" s="66"/>
      <c r="P905" s="64">
        <v>4000</v>
      </c>
      <c r="Q905" s="66"/>
      <c r="R905" s="66"/>
      <c r="S905" s="214"/>
      <c r="T905" s="219">
        <f t="shared" si="29"/>
        <v>4000</v>
      </c>
    </row>
    <row r="906" spans="1:20" ht="22.5">
      <c r="A906" s="17" t="s">
        <v>368</v>
      </c>
      <c r="B906" s="73">
        <v>1</v>
      </c>
      <c r="C906" s="67"/>
      <c r="D906" s="212">
        <v>12</v>
      </c>
      <c r="E906" s="218">
        <f t="shared" si="28"/>
        <v>72000</v>
      </c>
      <c r="F906" s="60" t="s">
        <v>166</v>
      </c>
      <c r="G906" s="66"/>
      <c r="H906" s="66"/>
      <c r="I906" s="66"/>
      <c r="J906" s="66"/>
      <c r="K906" s="66"/>
      <c r="L906" s="66"/>
      <c r="M906" s="66"/>
      <c r="N906" s="66"/>
      <c r="O906" s="66"/>
      <c r="P906" s="64">
        <v>6000</v>
      </c>
      <c r="Q906" s="66"/>
      <c r="R906" s="66"/>
      <c r="S906" s="214"/>
      <c r="T906" s="219">
        <f t="shared" si="29"/>
        <v>6000</v>
      </c>
    </row>
    <row r="907" spans="1:20" ht="33.75">
      <c r="A907" s="17" t="s">
        <v>386</v>
      </c>
      <c r="B907" s="73">
        <v>1</v>
      </c>
      <c r="C907" s="67"/>
      <c r="D907" s="212">
        <v>12</v>
      </c>
      <c r="E907" s="218">
        <f t="shared" si="28"/>
        <v>60000</v>
      </c>
      <c r="F907" s="60" t="s">
        <v>166</v>
      </c>
      <c r="G907" s="66"/>
      <c r="H907" s="66"/>
      <c r="I907" s="66"/>
      <c r="J907" s="66"/>
      <c r="K907" s="66"/>
      <c r="L907" s="66"/>
      <c r="M907" s="66"/>
      <c r="N907" s="66"/>
      <c r="O907" s="66"/>
      <c r="P907" s="64">
        <v>5000</v>
      </c>
      <c r="Q907" s="66"/>
      <c r="R907" s="66"/>
      <c r="S907" s="214"/>
      <c r="T907" s="219">
        <f t="shared" si="29"/>
        <v>5000</v>
      </c>
    </row>
    <row r="908" spans="1:20" ht="33.75">
      <c r="A908" s="17" t="s">
        <v>220</v>
      </c>
      <c r="B908" s="73">
        <v>1</v>
      </c>
      <c r="C908" s="67"/>
      <c r="D908" s="212">
        <v>12</v>
      </c>
      <c r="E908" s="218">
        <f t="shared" si="28"/>
        <v>36000</v>
      </c>
      <c r="F908" s="60" t="s">
        <v>166</v>
      </c>
      <c r="G908" s="66"/>
      <c r="H908" s="66"/>
      <c r="I908" s="66"/>
      <c r="J908" s="66"/>
      <c r="K908" s="66"/>
      <c r="L908" s="66"/>
      <c r="M908" s="66"/>
      <c r="N908" s="66"/>
      <c r="O908" s="66"/>
      <c r="P908" s="64">
        <v>3000</v>
      </c>
      <c r="Q908" s="66"/>
      <c r="R908" s="66"/>
      <c r="S908" s="214"/>
      <c r="T908" s="219">
        <f t="shared" si="29"/>
        <v>3000</v>
      </c>
    </row>
    <row r="909" spans="1:20" ht="33.75">
      <c r="A909" s="17" t="s">
        <v>419</v>
      </c>
      <c r="B909" s="73">
        <v>1</v>
      </c>
      <c r="C909" s="67"/>
      <c r="D909" s="212">
        <v>12</v>
      </c>
      <c r="E909" s="218">
        <f t="shared" si="28"/>
        <v>66000</v>
      </c>
      <c r="F909" s="60" t="s">
        <v>166</v>
      </c>
      <c r="G909" s="66"/>
      <c r="H909" s="66"/>
      <c r="I909" s="66"/>
      <c r="J909" s="66"/>
      <c r="K909" s="66"/>
      <c r="L909" s="66"/>
      <c r="M909" s="66"/>
      <c r="N909" s="66"/>
      <c r="O909" s="66"/>
      <c r="P909" s="64">
        <v>5500</v>
      </c>
      <c r="Q909" s="66"/>
      <c r="R909" s="66"/>
      <c r="S909" s="214"/>
      <c r="T909" s="219">
        <f t="shared" si="29"/>
        <v>5500</v>
      </c>
    </row>
    <row r="910" spans="1:20" ht="33.75">
      <c r="A910" s="17" t="s">
        <v>420</v>
      </c>
      <c r="B910" s="73">
        <v>1</v>
      </c>
      <c r="C910" s="67"/>
      <c r="D910" s="212">
        <v>12</v>
      </c>
      <c r="E910" s="218">
        <f t="shared" si="28"/>
        <v>84000</v>
      </c>
      <c r="F910" s="60" t="s">
        <v>166</v>
      </c>
      <c r="G910" s="66"/>
      <c r="H910" s="66"/>
      <c r="I910" s="66"/>
      <c r="J910" s="66"/>
      <c r="K910" s="66"/>
      <c r="L910" s="66"/>
      <c r="M910" s="66"/>
      <c r="N910" s="66"/>
      <c r="O910" s="66"/>
      <c r="P910" s="64">
        <v>7000</v>
      </c>
      <c r="Q910" s="66"/>
      <c r="R910" s="66"/>
      <c r="S910" s="214"/>
      <c r="T910" s="219">
        <f t="shared" si="29"/>
        <v>7000</v>
      </c>
    </row>
    <row r="911" spans="1:20" ht="45">
      <c r="A911" s="17" t="s">
        <v>421</v>
      </c>
      <c r="B911" s="73">
        <v>1</v>
      </c>
      <c r="C911" s="67"/>
      <c r="D911" s="212">
        <v>12</v>
      </c>
      <c r="E911" s="218">
        <f t="shared" si="28"/>
        <v>120000</v>
      </c>
      <c r="F911" s="60" t="s">
        <v>166</v>
      </c>
      <c r="G911" s="66"/>
      <c r="H911" s="66"/>
      <c r="I911" s="66"/>
      <c r="J911" s="66"/>
      <c r="K911" s="66"/>
      <c r="L911" s="66"/>
      <c r="M911" s="66"/>
      <c r="N911" s="66"/>
      <c r="O911" s="66"/>
      <c r="P911" s="64">
        <v>10000</v>
      </c>
      <c r="Q911" s="66"/>
      <c r="R911" s="66"/>
      <c r="S911" s="214"/>
      <c r="T911" s="219">
        <f t="shared" si="29"/>
        <v>10000</v>
      </c>
    </row>
    <row r="912" spans="1:20" ht="33.75">
      <c r="A912" s="17" t="s">
        <v>422</v>
      </c>
      <c r="B912" s="73">
        <v>1</v>
      </c>
      <c r="C912" s="67"/>
      <c r="D912" s="212">
        <v>12</v>
      </c>
      <c r="E912" s="218">
        <f t="shared" si="28"/>
        <v>84000</v>
      </c>
      <c r="F912" s="60" t="s">
        <v>166</v>
      </c>
      <c r="G912" s="66"/>
      <c r="H912" s="66"/>
      <c r="I912" s="66"/>
      <c r="J912" s="66"/>
      <c r="K912" s="66"/>
      <c r="L912" s="66"/>
      <c r="M912" s="66"/>
      <c r="N912" s="66"/>
      <c r="O912" s="66"/>
      <c r="P912" s="64">
        <v>7000</v>
      </c>
      <c r="Q912" s="66"/>
      <c r="R912" s="66"/>
      <c r="S912" s="214"/>
      <c r="T912" s="219">
        <f t="shared" si="29"/>
        <v>7000</v>
      </c>
    </row>
    <row r="913" spans="1:20" ht="33.75">
      <c r="A913" s="17" t="s">
        <v>423</v>
      </c>
      <c r="B913" s="73">
        <v>1</v>
      </c>
      <c r="C913" s="67"/>
      <c r="D913" s="212">
        <v>12</v>
      </c>
      <c r="E913" s="218">
        <f t="shared" si="28"/>
        <v>84000</v>
      </c>
      <c r="F913" s="60" t="s">
        <v>166</v>
      </c>
      <c r="G913" s="66"/>
      <c r="H913" s="66"/>
      <c r="I913" s="66"/>
      <c r="J913" s="66"/>
      <c r="K913" s="66"/>
      <c r="L913" s="66"/>
      <c r="M913" s="66"/>
      <c r="N913" s="66"/>
      <c r="O913" s="66"/>
      <c r="P913" s="64">
        <v>7000</v>
      </c>
      <c r="Q913" s="66"/>
      <c r="R913" s="66"/>
      <c r="S913" s="214"/>
      <c r="T913" s="219">
        <f t="shared" si="29"/>
        <v>7000</v>
      </c>
    </row>
    <row r="914" spans="1:20" ht="33.75">
      <c r="A914" s="17" t="s">
        <v>397</v>
      </c>
      <c r="B914" s="73">
        <v>1</v>
      </c>
      <c r="C914" s="67"/>
      <c r="D914" s="212">
        <v>12</v>
      </c>
      <c r="E914" s="218">
        <f t="shared" si="28"/>
        <v>42000</v>
      </c>
      <c r="F914" s="60" t="s">
        <v>166</v>
      </c>
      <c r="G914" s="66"/>
      <c r="H914" s="66"/>
      <c r="I914" s="66"/>
      <c r="J914" s="66"/>
      <c r="K914" s="66"/>
      <c r="L914" s="66"/>
      <c r="M914" s="66"/>
      <c r="N914" s="66"/>
      <c r="O914" s="66"/>
      <c r="P914" s="64">
        <v>3500</v>
      </c>
      <c r="Q914" s="66"/>
      <c r="R914" s="66"/>
      <c r="S914" s="214"/>
      <c r="T914" s="219">
        <f t="shared" si="29"/>
        <v>3500</v>
      </c>
    </row>
    <row r="915" spans="1:20" ht="33.75">
      <c r="A915" s="17" t="s">
        <v>397</v>
      </c>
      <c r="B915" s="73">
        <v>1</v>
      </c>
      <c r="C915" s="67"/>
      <c r="D915" s="212">
        <v>12</v>
      </c>
      <c r="E915" s="218">
        <f t="shared" si="28"/>
        <v>42000</v>
      </c>
      <c r="F915" s="60" t="s">
        <v>166</v>
      </c>
      <c r="G915" s="66"/>
      <c r="H915" s="66"/>
      <c r="I915" s="66"/>
      <c r="J915" s="66"/>
      <c r="K915" s="66"/>
      <c r="L915" s="66"/>
      <c r="M915" s="66"/>
      <c r="N915" s="66"/>
      <c r="O915" s="66"/>
      <c r="P915" s="64">
        <v>3500</v>
      </c>
      <c r="Q915" s="66"/>
      <c r="R915" s="66"/>
      <c r="S915" s="214"/>
      <c r="T915" s="219">
        <f t="shared" si="29"/>
        <v>3500</v>
      </c>
    </row>
    <row r="916" spans="1:20" ht="33.75">
      <c r="A916" s="17" t="s">
        <v>397</v>
      </c>
      <c r="B916" s="73">
        <v>1</v>
      </c>
      <c r="C916" s="67"/>
      <c r="D916" s="212">
        <v>12</v>
      </c>
      <c r="E916" s="218">
        <f t="shared" si="28"/>
        <v>36000</v>
      </c>
      <c r="F916" s="60" t="s">
        <v>166</v>
      </c>
      <c r="G916" s="66"/>
      <c r="H916" s="66"/>
      <c r="I916" s="66"/>
      <c r="J916" s="66"/>
      <c r="K916" s="66"/>
      <c r="L916" s="66"/>
      <c r="M916" s="66"/>
      <c r="N916" s="66"/>
      <c r="O916" s="66"/>
      <c r="P916" s="64">
        <v>3000</v>
      </c>
      <c r="Q916" s="66"/>
      <c r="R916" s="66"/>
      <c r="S916" s="214"/>
      <c r="T916" s="219">
        <f t="shared" si="29"/>
        <v>3000</v>
      </c>
    </row>
    <row r="917" spans="1:20" ht="33.75">
      <c r="A917" s="17" t="s">
        <v>423</v>
      </c>
      <c r="B917" s="73">
        <v>1</v>
      </c>
      <c r="C917" s="67"/>
      <c r="D917" s="212">
        <v>12</v>
      </c>
      <c r="E917" s="218">
        <f t="shared" si="28"/>
        <v>54000</v>
      </c>
      <c r="F917" s="60" t="s">
        <v>166</v>
      </c>
      <c r="G917" s="66"/>
      <c r="H917" s="66"/>
      <c r="I917" s="66"/>
      <c r="J917" s="66"/>
      <c r="K917" s="66"/>
      <c r="L917" s="66"/>
      <c r="M917" s="66"/>
      <c r="N917" s="66"/>
      <c r="O917" s="66"/>
      <c r="P917" s="64">
        <v>4500</v>
      </c>
      <c r="Q917" s="66"/>
      <c r="R917" s="66"/>
      <c r="S917" s="214"/>
      <c r="T917" s="219">
        <f t="shared" si="29"/>
        <v>4500</v>
      </c>
    </row>
    <row r="918" spans="1:20" ht="22.5">
      <c r="A918" s="17" t="s">
        <v>405</v>
      </c>
      <c r="B918" s="73">
        <v>1</v>
      </c>
      <c r="C918" s="67"/>
      <c r="D918" s="212">
        <v>12</v>
      </c>
      <c r="E918" s="218">
        <f t="shared" si="28"/>
        <v>144000</v>
      </c>
      <c r="F918" s="60" t="s">
        <v>166</v>
      </c>
      <c r="G918" s="66"/>
      <c r="H918" s="66"/>
      <c r="I918" s="66"/>
      <c r="J918" s="66"/>
      <c r="K918" s="66"/>
      <c r="L918" s="66"/>
      <c r="M918" s="66"/>
      <c r="N918" s="66"/>
      <c r="O918" s="66"/>
      <c r="P918" s="64">
        <v>12000</v>
      </c>
      <c r="Q918" s="66"/>
      <c r="R918" s="66"/>
      <c r="S918" s="214"/>
      <c r="T918" s="219">
        <f t="shared" si="29"/>
        <v>12000</v>
      </c>
    </row>
    <row r="919" spans="1:20" ht="33.75">
      <c r="A919" s="17" t="s">
        <v>275</v>
      </c>
      <c r="B919" s="73">
        <v>1</v>
      </c>
      <c r="C919" s="67"/>
      <c r="D919" s="212">
        <v>12</v>
      </c>
      <c r="E919" s="218">
        <f t="shared" si="28"/>
        <v>60000</v>
      </c>
      <c r="F919" s="60" t="s">
        <v>166</v>
      </c>
      <c r="G919" s="66"/>
      <c r="H919" s="66"/>
      <c r="I919" s="66"/>
      <c r="J919" s="66"/>
      <c r="K919" s="66"/>
      <c r="L919" s="66"/>
      <c r="M919" s="66"/>
      <c r="N919" s="66"/>
      <c r="O919" s="66"/>
      <c r="P919" s="64">
        <v>5000</v>
      </c>
      <c r="Q919" s="66"/>
      <c r="R919" s="66"/>
      <c r="S919" s="214"/>
      <c r="T919" s="219">
        <f t="shared" si="29"/>
        <v>5000</v>
      </c>
    </row>
    <row r="920" spans="1:20" ht="33.75">
      <c r="A920" s="17" t="s">
        <v>424</v>
      </c>
      <c r="B920" s="73">
        <v>1</v>
      </c>
      <c r="C920" s="67"/>
      <c r="D920" s="212">
        <v>12</v>
      </c>
      <c r="E920" s="218">
        <f t="shared" si="28"/>
        <v>36000</v>
      </c>
      <c r="F920" s="60" t="s">
        <v>166</v>
      </c>
      <c r="G920" s="66"/>
      <c r="H920" s="66"/>
      <c r="I920" s="66"/>
      <c r="J920" s="66"/>
      <c r="K920" s="66"/>
      <c r="L920" s="66"/>
      <c r="M920" s="66"/>
      <c r="N920" s="66"/>
      <c r="O920" s="66"/>
      <c r="P920" s="64">
        <v>3000</v>
      </c>
      <c r="Q920" s="66"/>
      <c r="R920" s="66"/>
      <c r="S920" s="214"/>
      <c r="T920" s="219">
        <f t="shared" si="29"/>
        <v>3000</v>
      </c>
    </row>
    <row r="921" spans="1:20" ht="22.5">
      <c r="A921" s="17" t="s">
        <v>359</v>
      </c>
      <c r="B921" s="73">
        <v>1</v>
      </c>
      <c r="C921" s="67"/>
      <c r="D921" s="212">
        <v>12</v>
      </c>
      <c r="E921" s="218">
        <f t="shared" si="28"/>
        <v>144000</v>
      </c>
      <c r="F921" s="60" t="s">
        <v>166</v>
      </c>
      <c r="G921" s="66"/>
      <c r="H921" s="66"/>
      <c r="I921" s="66"/>
      <c r="J921" s="66"/>
      <c r="K921" s="66"/>
      <c r="L921" s="66"/>
      <c r="M921" s="66"/>
      <c r="N921" s="66"/>
      <c r="O921" s="66"/>
      <c r="P921" s="64">
        <v>12000</v>
      </c>
      <c r="Q921" s="66"/>
      <c r="R921" s="66"/>
      <c r="S921" s="214"/>
      <c r="T921" s="219">
        <f t="shared" si="29"/>
        <v>12000</v>
      </c>
    </row>
    <row r="922" spans="1:20" ht="33.75">
      <c r="A922" s="17" t="s">
        <v>425</v>
      </c>
      <c r="B922" s="73">
        <v>1</v>
      </c>
      <c r="C922" s="67"/>
      <c r="D922" s="212">
        <v>12</v>
      </c>
      <c r="E922" s="218">
        <f t="shared" si="28"/>
        <v>120000</v>
      </c>
      <c r="F922" s="60" t="s">
        <v>166</v>
      </c>
      <c r="G922" s="66"/>
      <c r="H922" s="66"/>
      <c r="I922" s="66"/>
      <c r="J922" s="66"/>
      <c r="K922" s="66"/>
      <c r="L922" s="66"/>
      <c r="M922" s="66"/>
      <c r="N922" s="66"/>
      <c r="O922" s="66"/>
      <c r="P922" s="64">
        <v>10000</v>
      </c>
      <c r="Q922" s="66"/>
      <c r="R922" s="66"/>
      <c r="S922" s="214"/>
      <c r="T922" s="219">
        <f t="shared" si="29"/>
        <v>10000</v>
      </c>
    </row>
    <row r="923" spans="1:20" ht="33.75">
      <c r="A923" s="17" t="s">
        <v>416</v>
      </c>
      <c r="B923" s="73">
        <v>1</v>
      </c>
      <c r="C923" s="67"/>
      <c r="D923" s="212">
        <v>12</v>
      </c>
      <c r="E923" s="218">
        <f t="shared" si="28"/>
        <v>90000</v>
      </c>
      <c r="F923" s="60" t="s">
        <v>166</v>
      </c>
      <c r="G923" s="66"/>
      <c r="H923" s="66"/>
      <c r="I923" s="66"/>
      <c r="J923" s="66"/>
      <c r="K923" s="66"/>
      <c r="L923" s="66"/>
      <c r="M923" s="66"/>
      <c r="N923" s="66"/>
      <c r="O923" s="66"/>
      <c r="P923" s="64">
        <v>7500</v>
      </c>
      <c r="Q923" s="66"/>
      <c r="R923" s="66"/>
      <c r="S923" s="214"/>
      <c r="T923" s="219">
        <f t="shared" si="29"/>
        <v>7500</v>
      </c>
    </row>
    <row r="924" spans="1:20" ht="22.5">
      <c r="A924" s="17" t="s">
        <v>368</v>
      </c>
      <c r="B924" s="73">
        <v>1</v>
      </c>
      <c r="C924" s="67"/>
      <c r="D924" s="212">
        <v>12</v>
      </c>
      <c r="E924" s="218">
        <f t="shared" si="28"/>
        <v>93000</v>
      </c>
      <c r="F924" s="60" t="s">
        <v>166</v>
      </c>
      <c r="G924" s="66"/>
      <c r="H924" s="66"/>
      <c r="I924" s="66"/>
      <c r="J924" s="66"/>
      <c r="K924" s="66"/>
      <c r="L924" s="66"/>
      <c r="M924" s="66"/>
      <c r="N924" s="66"/>
      <c r="O924" s="66"/>
      <c r="P924" s="64">
        <v>7750</v>
      </c>
      <c r="Q924" s="66"/>
      <c r="R924" s="66"/>
      <c r="S924" s="214"/>
      <c r="T924" s="219">
        <f t="shared" si="29"/>
        <v>7750</v>
      </c>
    </row>
    <row r="925" spans="1:20" ht="22.5">
      <c r="A925" s="17" t="s">
        <v>363</v>
      </c>
      <c r="B925" s="73">
        <v>1</v>
      </c>
      <c r="C925" s="67"/>
      <c r="D925" s="212">
        <v>12</v>
      </c>
      <c r="E925" s="218">
        <f t="shared" si="28"/>
        <v>93000</v>
      </c>
      <c r="F925" s="60" t="s">
        <v>166</v>
      </c>
      <c r="G925" s="66"/>
      <c r="H925" s="66"/>
      <c r="I925" s="66"/>
      <c r="J925" s="66"/>
      <c r="K925" s="66"/>
      <c r="L925" s="66"/>
      <c r="M925" s="66"/>
      <c r="N925" s="66"/>
      <c r="O925" s="66"/>
      <c r="P925" s="64">
        <v>7750</v>
      </c>
      <c r="Q925" s="66"/>
      <c r="R925" s="66"/>
      <c r="S925" s="214"/>
      <c r="T925" s="219">
        <f t="shared" si="29"/>
        <v>7750</v>
      </c>
    </row>
    <row r="926" spans="1:20" ht="22.5">
      <c r="A926" s="17" t="s">
        <v>368</v>
      </c>
      <c r="B926" s="73">
        <v>1</v>
      </c>
      <c r="C926" s="67"/>
      <c r="D926" s="212">
        <v>12</v>
      </c>
      <c r="E926" s="218">
        <f t="shared" si="28"/>
        <v>113400</v>
      </c>
      <c r="F926" s="60" t="s">
        <v>166</v>
      </c>
      <c r="G926" s="66"/>
      <c r="H926" s="66"/>
      <c r="I926" s="66"/>
      <c r="J926" s="66"/>
      <c r="K926" s="66"/>
      <c r="L926" s="66"/>
      <c r="M926" s="66"/>
      <c r="N926" s="66"/>
      <c r="O926" s="66"/>
      <c r="P926" s="64">
        <v>9450</v>
      </c>
      <c r="Q926" s="66"/>
      <c r="R926" s="66"/>
      <c r="S926" s="214"/>
      <c r="T926" s="219">
        <f t="shared" si="29"/>
        <v>9450</v>
      </c>
    </row>
    <row r="927" spans="1:20" ht="22.5">
      <c r="A927" s="17" t="s">
        <v>426</v>
      </c>
      <c r="B927" s="73">
        <v>1</v>
      </c>
      <c r="C927" s="67"/>
      <c r="D927" s="212">
        <v>12</v>
      </c>
      <c r="E927" s="218">
        <f t="shared" si="28"/>
        <v>166200</v>
      </c>
      <c r="F927" s="60" t="s">
        <v>166</v>
      </c>
      <c r="G927" s="66"/>
      <c r="H927" s="66"/>
      <c r="I927" s="66"/>
      <c r="J927" s="66"/>
      <c r="K927" s="66"/>
      <c r="L927" s="66"/>
      <c r="M927" s="66"/>
      <c r="N927" s="66"/>
      <c r="O927" s="66"/>
      <c r="P927" s="64">
        <v>13850</v>
      </c>
      <c r="Q927" s="66"/>
      <c r="R927" s="66"/>
      <c r="S927" s="214"/>
      <c r="T927" s="219">
        <f t="shared" si="29"/>
        <v>13850</v>
      </c>
    </row>
    <row r="928" spans="1:20" ht="22.5">
      <c r="A928" s="17" t="s">
        <v>368</v>
      </c>
      <c r="B928" s="73">
        <v>1</v>
      </c>
      <c r="C928" s="67"/>
      <c r="D928" s="212">
        <v>12</v>
      </c>
      <c r="E928" s="218">
        <f t="shared" si="28"/>
        <v>93000</v>
      </c>
      <c r="F928" s="60" t="s">
        <v>166</v>
      </c>
      <c r="G928" s="66"/>
      <c r="H928" s="66"/>
      <c r="I928" s="66"/>
      <c r="J928" s="66"/>
      <c r="K928" s="66"/>
      <c r="L928" s="66"/>
      <c r="M928" s="66"/>
      <c r="N928" s="66"/>
      <c r="O928" s="66"/>
      <c r="P928" s="64">
        <v>7750</v>
      </c>
      <c r="Q928" s="66"/>
      <c r="R928" s="66"/>
      <c r="S928" s="214"/>
      <c r="T928" s="219">
        <f t="shared" si="29"/>
        <v>7750</v>
      </c>
    </row>
    <row r="929" spans="1:20" ht="22.5">
      <c r="A929" s="17" t="s">
        <v>427</v>
      </c>
      <c r="B929" s="73">
        <v>1</v>
      </c>
      <c r="C929" s="67"/>
      <c r="D929" s="212">
        <v>12</v>
      </c>
      <c r="E929" s="218">
        <f t="shared" si="28"/>
        <v>99000</v>
      </c>
      <c r="F929" s="60" t="s">
        <v>166</v>
      </c>
      <c r="G929" s="66"/>
      <c r="H929" s="66"/>
      <c r="I929" s="66"/>
      <c r="J929" s="66"/>
      <c r="K929" s="66"/>
      <c r="L929" s="66"/>
      <c r="M929" s="66"/>
      <c r="N929" s="66"/>
      <c r="O929" s="66"/>
      <c r="P929" s="64">
        <v>8250</v>
      </c>
      <c r="Q929" s="66"/>
      <c r="R929" s="66"/>
      <c r="S929" s="214"/>
      <c r="T929" s="219">
        <f t="shared" si="29"/>
        <v>8250</v>
      </c>
    </row>
    <row r="930" spans="1:20" ht="33.75">
      <c r="A930" s="17" t="s">
        <v>428</v>
      </c>
      <c r="B930" s="73">
        <v>1</v>
      </c>
      <c r="C930" s="67"/>
      <c r="D930" s="212">
        <v>12</v>
      </c>
      <c r="E930" s="218">
        <f t="shared" si="28"/>
        <v>131400</v>
      </c>
      <c r="F930" s="60" t="s">
        <v>166</v>
      </c>
      <c r="G930" s="66"/>
      <c r="H930" s="66"/>
      <c r="I930" s="66"/>
      <c r="J930" s="66"/>
      <c r="K930" s="66"/>
      <c r="L930" s="66"/>
      <c r="M930" s="66"/>
      <c r="N930" s="66"/>
      <c r="O930" s="66"/>
      <c r="P930" s="64">
        <v>10950</v>
      </c>
      <c r="Q930" s="66"/>
      <c r="R930" s="66"/>
      <c r="S930" s="214"/>
      <c r="T930" s="219">
        <f t="shared" si="29"/>
        <v>10950</v>
      </c>
    </row>
    <row r="931" spans="1:20" ht="22.5">
      <c r="A931" s="17" t="s">
        <v>429</v>
      </c>
      <c r="B931" s="73">
        <v>1</v>
      </c>
      <c r="C931" s="67"/>
      <c r="D931" s="212">
        <v>12</v>
      </c>
      <c r="E931" s="218">
        <f t="shared" si="28"/>
        <v>96000</v>
      </c>
      <c r="F931" s="60" t="s">
        <v>166</v>
      </c>
      <c r="G931" s="66"/>
      <c r="H931" s="66"/>
      <c r="I931" s="66"/>
      <c r="J931" s="66"/>
      <c r="K931" s="66"/>
      <c r="L931" s="66"/>
      <c r="M931" s="66"/>
      <c r="N931" s="66"/>
      <c r="O931" s="66"/>
      <c r="P931" s="64">
        <v>8000</v>
      </c>
      <c r="Q931" s="66"/>
      <c r="R931" s="66"/>
      <c r="S931" s="214"/>
      <c r="T931" s="219">
        <f t="shared" si="29"/>
        <v>8000</v>
      </c>
    </row>
    <row r="932" spans="1:20" ht="22.5">
      <c r="A932" s="17" t="s">
        <v>368</v>
      </c>
      <c r="B932" s="73">
        <v>1</v>
      </c>
      <c r="C932" s="67"/>
      <c r="D932" s="212">
        <v>12</v>
      </c>
      <c r="E932" s="218">
        <f t="shared" si="28"/>
        <v>82800</v>
      </c>
      <c r="F932" s="60" t="s">
        <v>166</v>
      </c>
      <c r="G932" s="66"/>
      <c r="H932" s="66"/>
      <c r="I932" s="66"/>
      <c r="J932" s="66"/>
      <c r="K932" s="66"/>
      <c r="L932" s="66"/>
      <c r="M932" s="66"/>
      <c r="N932" s="66"/>
      <c r="O932" s="66"/>
      <c r="P932" s="64">
        <v>6900</v>
      </c>
      <c r="Q932" s="66"/>
      <c r="R932" s="66"/>
      <c r="S932" s="214"/>
      <c r="T932" s="219">
        <f t="shared" si="29"/>
        <v>6900</v>
      </c>
    </row>
    <row r="933" spans="1:20" ht="22.5">
      <c r="A933" s="17" t="s">
        <v>368</v>
      </c>
      <c r="B933" s="73">
        <v>1</v>
      </c>
      <c r="C933" s="67"/>
      <c r="D933" s="212">
        <v>12</v>
      </c>
      <c r="E933" s="218">
        <f t="shared" si="28"/>
        <v>90600</v>
      </c>
      <c r="F933" s="60" t="s">
        <v>166</v>
      </c>
      <c r="G933" s="66"/>
      <c r="H933" s="66"/>
      <c r="I933" s="66"/>
      <c r="J933" s="66"/>
      <c r="K933" s="66"/>
      <c r="L933" s="66"/>
      <c r="M933" s="66"/>
      <c r="N933" s="66"/>
      <c r="O933" s="66"/>
      <c r="P933" s="64">
        <v>7550</v>
      </c>
      <c r="Q933" s="66"/>
      <c r="R933" s="66"/>
      <c r="S933" s="214"/>
      <c r="T933" s="219">
        <f t="shared" si="29"/>
        <v>7550</v>
      </c>
    </row>
    <row r="934" spans="1:20" ht="22.5">
      <c r="A934" s="17" t="s">
        <v>430</v>
      </c>
      <c r="B934" s="73">
        <v>1</v>
      </c>
      <c r="C934" s="67"/>
      <c r="D934" s="212">
        <v>12</v>
      </c>
      <c r="E934" s="218">
        <f t="shared" si="28"/>
        <v>120000</v>
      </c>
      <c r="F934" s="60" t="s">
        <v>166</v>
      </c>
      <c r="G934" s="66"/>
      <c r="H934" s="66"/>
      <c r="I934" s="66"/>
      <c r="J934" s="66"/>
      <c r="K934" s="66"/>
      <c r="L934" s="66"/>
      <c r="M934" s="66"/>
      <c r="N934" s="66"/>
      <c r="O934" s="66"/>
      <c r="P934" s="64">
        <v>10000</v>
      </c>
      <c r="Q934" s="66"/>
      <c r="R934" s="66"/>
      <c r="S934" s="214"/>
      <c r="T934" s="219">
        <f t="shared" si="29"/>
        <v>10000</v>
      </c>
    </row>
    <row r="935" spans="1:20" ht="22.5">
      <c r="A935" s="17" t="s">
        <v>431</v>
      </c>
      <c r="B935" s="73">
        <v>1</v>
      </c>
      <c r="C935" s="67"/>
      <c r="D935" s="212">
        <v>12</v>
      </c>
      <c r="E935" s="218">
        <f t="shared" si="28"/>
        <v>264000</v>
      </c>
      <c r="F935" s="60" t="s">
        <v>166</v>
      </c>
      <c r="G935" s="66"/>
      <c r="H935" s="66"/>
      <c r="I935" s="66"/>
      <c r="J935" s="66"/>
      <c r="K935" s="66"/>
      <c r="L935" s="66"/>
      <c r="M935" s="66"/>
      <c r="N935" s="66"/>
      <c r="O935" s="66"/>
      <c r="P935" s="64">
        <v>22000</v>
      </c>
      <c r="Q935" s="66"/>
      <c r="R935" s="66"/>
      <c r="S935" s="214"/>
      <c r="T935" s="219">
        <f t="shared" si="29"/>
        <v>22000</v>
      </c>
    </row>
    <row r="936" spans="1:20" ht="22.5">
      <c r="A936" s="17" t="s">
        <v>432</v>
      </c>
      <c r="B936" s="73">
        <v>1</v>
      </c>
      <c r="C936" s="67"/>
      <c r="D936" s="212">
        <v>12</v>
      </c>
      <c r="E936" s="218">
        <f t="shared" si="28"/>
        <v>258000</v>
      </c>
      <c r="F936" s="60" t="s">
        <v>166</v>
      </c>
      <c r="G936" s="66"/>
      <c r="H936" s="66"/>
      <c r="I936" s="66"/>
      <c r="J936" s="66"/>
      <c r="K936" s="66"/>
      <c r="L936" s="66"/>
      <c r="M936" s="66"/>
      <c r="N936" s="66"/>
      <c r="O936" s="66"/>
      <c r="P936" s="64">
        <v>21500</v>
      </c>
      <c r="Q936" s="66"/>
      <c r="R936" s="66"/>
      <c r="S936" s="214"/>
      <c r="T936" s="219">
        <f t="shared" si="29"/>
        <v>21500</v>
      </c>
    </row>
    <row r="937" spans="1:20" ht="33.75">
      <c r="A937" s="17" t="s">
        <v>317</v>
      </c>
      <c r="B937" s="73">
        <v>1</v>
      </c>
      <c r="C937" s="67"/>
      <c r="D937" s="212">
        <v>12</v>
      </c>
      <c r="E937" s="218">
        <f t="shared" si="28"/>
        <v>198000</v>
      </c>
      <c r="F937" s="60" t="s">
        <v>166</v>
      </c>
      <c r="G937" s="66"/>
      <c r="H937" s="66"/>
      <c r="I937" s="66"/>
      <c r="J937" s="66"/>
      <c r="K937" s="66"/>
      <c r="L937" s="66"/>
      <c r="M937" s="66"/>
      <c r="N937" s="66"/>
      <c r="O937" s="66"/>
      <c r="P937" s="64">
        <v>16500</v>
      </c>
      <c r="Q937" s="66"/>
      <c r="R937" s="66"/>
      <c r="S937" s="214"/>
      <c r="T937" s="219">
        <f t="shared" si="29"/>
        <v>16500</v>
      </c>
    </row>
    <row r="938" spans="1:20" ht="22.5">
      <c r="A938" s="17" t="s">
        <v>433</v>
      </c>
      <c r="B938" s="73">
        <v>1</v>
      </c>
      <c r="C938" s="67"/>
      <c r="D938" s="212">
        <v>12</v>
      </c>
      <c r="E938" s="218">
        <f t="shared" si="28"/>
        <v>114000</v>
      </c>
      <c r="F938" s="60" t="s">
        <v>166</v>
      </c>
      <c r="G938" s="66"/>
      <c r="H938" s="66"/>
      <c r="I938" s="66"/>
      <c r="J938" s="66"/>
      <c r="K938" s="66"/>
      <c r="L938" s="66"/>
      <c r="M938" s="66"/>
      <c r="N938" s="66"/>
      <c r="O938" s="66"/>
      <c r="P938" s="64">
        <v>9500</v>
      </c>
      <c r="Q938" s="66"/>
      <c r="R938" s="66"/>
      <c r="S938" s="214"/>
      <c r="T938" s="219">
        <f t="shared" si="29"/>
        <v>9500</v>
      </c>
    </row>
    <row r="939" spans="1:20" ht="22.5">
      <c r="A939" s="17" t="s">
        <v>433</v>
      </c>
      <c r="B939" s="73">
        <v>1</v>
      </c>
      <c r="C939" s="67"/>
      <c r="D939" s="212">
        <v>12</v>
      </c>
      <c r="E939" s="218">
        <f t="shared" si="28"/>
        <v>108000</v>
      </c>
      <c r="F939" s="60" t="s">
        <v>166</v>
      </c>
      <c r="G939" s="66"/>
      <c r="H939" s="66"/>
      <c r="I939" s="66"/>
      <c r="J939" s="66"/>
      <c r="K939" s="66"/>
      <c r="L939" s="66"/>
      <c r="M939" s="66"/>
      <c r="N939" s="66"/>
      <c r="O939" s="66"/>
      <c r="P939" s="64">
        <v>9000</v>
      </c>
      <c r="Q939" s="66"/>
      <c r="R939" s="66"/>
      <c r="S939" s="214"/>
      <c r="T939" s="219">
        <f t="shared" si="29"/>
        <v>9000</v>
      </c>
    </row>
    <row r="940" spans="1:20" ht="22.5">
      <c r="A940" s="17" t="s">
        <v>433</v>
      </c>
      <c r="B940" s="73">
        <v>1</v>
      </c>
      <c r="C940" s="67"/>
      <c r="D940" s="212">
        <v>12</v>
      </c>
      <c r="E940" s="218">
        <f t="shared" si="28"/>
        <v>108000</v>
      </c>
      <c r="F940" s="60" t="s">
        <v>166</v>
      </c>
      <c r="G940" s="66"/>
      <c r="H940" s="66"/>
      <c r="I940" s="66"/>
      <c r="J940" s="66"/>
      <c r="K940" s="66"/>
      <c r="L940" s="66"/>
      <c r="M940" s="66"/>
      <c r="N940" s="66"/>
      <c r="O940" s="66"/>
      <c r="P940" s="64">
        <v>9000</v>
      </c>
      <c r="Q940" s="66"/>
      <c r="R940" s="66"/>
      <c r="S940" s="214"/>
      <c r="T940" s="219">
        <f t="shared" si="29"/>
        <v>9000</v>
      </c>
    </row>
    <row r="941" spans="1:20" ht="22.5">
      <c r="A941" s="17" t="s">
        <v>433</v>
      </c>
      <c r="B941" s="73">
        <v>1</v>
      </c>
      <c r="C941" s="67"/>
      <c r="D941" s="212">
        <v>12</v>
      </c>
      <c r="E941" s="218">
        <f t="shared" si="28"/>
        <v>42000</v>
      </c>
      <c r="F941" s="60" t="s">
        <v>166</v>
      </c>
      <c r="G941" s="66"/>
      <c r="H941" s="66"/>
      <c r="I941" s="66"/>
      <c r="J941" s="66"/>
      <c r="K941" s="66"/>
      <c r="L941" s="66"/>
      <c r="M941" s="66"/>
      <c r="N941" s="66"/>
      <c r="O941" s="66"/>
      <c r="P941" s="64">
        <v>3500</v>
      </c>
      <c r="Q941" s="66"/>
      <c r="R941" s="66"/>
      <c r="S941" s="214"/>
      <c r="T941" s="219">
        <f t="shared" si="29"/>
        <v>3500</v>
      </c>
    </row>
    <row r="942" spans="1:20" ht="33.75">
      <c r="A942" s="17" t="s">
        <v>266</v>
      </c>
      <c r="B942" s="73">
        <v>1</v>
      </c>
      <c r="C942" s="67"/>
      <c r="D942" s="212">
        <v>12</v>
      </c>
      <c r="E942" s="218">
        <f t="shared" si="28"/>
        <v>120000</v>
      </c>
      <c r="F942" s="60" t="s">
        <v>166</v>
      </c>
      <c r="G942" s="66"/>
      <c r="H942" s="66"/>
      <c r="I942" s="66"/>
      <c r="J942" s="66"/>
      <c r="K942" s="66"/>
      <c r="L942" s="66"/>
      <c r="M942" s="66"/>
      <c r="N942" s="66"/>
      <c r="O942" s="66"/>
      <c r="P942" s="64">
        <v>10000</v>
      </c>
      <c r="Q942" s="66"/>
      <c r="R942" s="66"/>
      <c r="S942" s="214"/>
      <c r="T942" s="219">
        <f t="shared" si="29"/>
        <v>10000</v>
      </c>
    </row>
    <row r="943" spans="1:20" ht="33.75">
      <c r="A943" s="17" t="s">
        <v>434</v>
      </c>
      <c r="B943" s="73">
        <v>1</v>
      </c>
      <c r="C943" s="67"/>
      <c r="D943" s="212">
        <v>12</v>
      </c>
      <c r="E943" s="218">
        <f t="shared" si="28"/>
        <v>180000</v>
      </c>
      <c r="F943" s="60" t="s">
        <v>166</v>
      </c>
      <c r="G943" s="66"/>
      <c r="H943" s="66"/>
      <c r="I943" s="66"/>
      <c r="J943" s="66"/>
      <c r="K943" s="66"/>
      <c r="L943" s="66"/>
      <c r="M943" s="66"/>
      <c r="N943" s="66"/>
      <c r="O943" s="66"/>
      <c r="P943" s="64">
        <v>15000</v>
      </c>
      <c r="Q943" s="66"/>
      <c r="R943" s="66"/>
      <c r="S943" s="214"/>
      <c r="T943" s="219">
        <f t="shared" si="29"/>
        <v>15000</v>
      </c>
    </row>
    <row r="944" spans="1:20" ht="22.5">
      <c r="A944" s="17" t="s">
        <v>435</v>
      </c>
      <c r="B944" s="73">
        <v>1</v>
      </c>
      <c r="C944" s="67"/>
      <c r="D944" s="212">
        <v>12</v>
      </c>
      <c r="E944" s="218">
        <f t="shared" si="28"/>
        <v>294000</v>
      </c>
      <c r="F944" s="60" t="s">
        <v>166</v>
      </c>
      <c r="G944" s="66"/>
      <c r="H944" s="66"/>
      <c r="I944" s="66"/>
      <c r="J944" s="66"/>
      <c r="K944" s="66"/>
      <c r="L944" s="66"/>
      <c r="M944" s="66"/>
      <c r="N944" s="66"/>
      <c r="O944" s="66"/>
      <c r="P944" s="64">
        <v>24500</v>
      </c>
      <c r="Q944" s="66"/>
      <c r="R944" s="66"/>
      <c r="S944" s="214"/>
      <c r="T944" s="219">
        <f t="shared" si="29"/>
        <v>24500</v>
      </c>
    </row>
    <row r="945" spans="1:20" ht="22.5">
      <c r="A945" s="17" t="s">
        <v>417</v>
      </c>
      <c r="B945" s="73">
        <v>1</v>
      </c>
      <c r="C945" s="67"/>
      <c r="D945" s="212">
        <v>12</v>
      </c>
      <c r="E945" s="218">
        <f t="shared" si="28"/>
        <v>180000</v>
      </c>
      <c r="F945" s="60" t="s">
        <v>166</v>
      </c>
      <c r="G945" s="66"/>
      <c r="H945" s="66"/>
      <c r="I945" s="66"/>
      <c r="J945" s="66"/>
      <c r="K945" s="66"/>
      <c r="L945" s="66"/>
      <c r="M945" s="66"/>
      <c r="N945" s="66"/>
      <c r="O945" s="66"/>
      <c r="P945" s="64">
        <v>15000</v>
      </c>
      <c r="Q945" s="66"/>
      <c r="R945" s="66"/>
      <c r="S945" s="214"/>
      <c r="T945" s="219">
        <f t="shared" si="29"/>
        <v>15000</v>
      </c>
    </row>
    <row r="946" spans="1:20" ht="33.75">
      <c r="A946" s="17" t="s">
        <v>416</v>
      </c>
      <c r="B946" s="73">
        <v>1</v>
      </c>
      <c r="C946" s="67"/>
      <c r="D946" s="212">
        <v>12</v>
      </c>
      <c r="E946" s="218">
        <f t="shared" si="28"/>
        <v>72000</v>
      </c>
      <c r="F946" s="60" t="s">
        <v>166</v>
      </c>
      <c r="G946" s="66"/>
      <c r="H946" s="66"/>
      <c r="I946" s="66"/>
      <c r="J946" s="66"/>
      <c r="K946" s="66"/>
      <c r="L946" s="66"/>
      <c r="M946" s="66"/>
      <c r="N946" s="66"/>
      <c r="O946" s="66"/>
      <c r="P946" s="64">
        <v>6000</v>
      </c>
      <c r="Q946" s="66"/>
      <c r="R946" s="66"/>
      <c r="S946" s="214"/>
      <c r="T946" s="219">
        <f t="shared" si="29"/>
        <v>6000</v>
      </c>
    </row>
    <row r="947" spans="1:20" ht="33.75">
      <c r="A947" s="17" t="s">
        <v>270</v>
      </c>
      <c r="B947" s="73">
        <v>1</v>
      </c>
      <c r="C947" s="67"/>
      <c r="D947" s="212">
        <v>12</v>
      </c>
      <c r="E947" s="218">
        <f t="shared" si="28"/>
        <v>60000</v>
      </c>
      <c r="F947" s="60" t="s">
        <v>166</v>
      </c>
      <c r="G947" s="66"/>
      <c r="H947" s="66"/>
      <c r="I947" s="66"/>
      <c r="J947" s="66"/>
      <c r="K947" s="66"/>
      <c r="L947" s="66"/>
      <c r="M947" s="66"/>
      <c r="N947" s="66"/>
      <c r="O947" s="66"/>
      <c r="P947" s="64">
        <v>5000</v>
      </c>
      <c r="Q947" s="66"/>
      <c r="R947" s="66"/>
      <c r="S947" s="214"/>
      <c r="T947" s="219">
        <f t="shared" si="29"/>
        <v>5000</v>
      </c>
    </row>
    <row r="948" spans="1:20" ht="22.5">
      <c r="A948" s="17" t="s">
        <v>216</v>
      </c>
      <c r="B948" s="73">
        <v>1</v>
      </c>
      <c r="C948" s="67"/>
      <c r="D948" s="212">
        <v>12</v>
      </c>
      <c r="E948" s="218">
        <f t="shared" si="28"/>
        <v>42000</v>
      </c>
      <c r="F948" s="60" t="s">
        <v>166</v>
      </c>
      <c r="G948" s="66"/>
      <c r="H948" s="66"/>
      <c r="I948" s="66"/>
      <c r="J948" s="66"/>
      <c r="K948" s="66"/>
      <c r="L948" s="66"/>
      <c r="M948" s="66"/>
      <c r="N948" s="66"/>
      <c r="O948" s="66"/>
      <c r="P948" s="64">
        <v>3500</v>
      </c>
      <c r="Q948" s="66"/>
      <c r="R948" s="66"/>
      <c r="S948" s="214"/>
      <c r="T948" s="219">
        <f t="shared" si="29"/>
        <v>3500</v>
      </c>
    </row>
    <row r="949" spans="1:20" ht="22.5">
      <c r="A949" s="17" t="s">
        <v>216</v>
      </c>
      <c r="B949" s="73">
        <v>1</v>
      </c>
      <c r="C949" s="67"/>
      <c r="D949" s="212">
        <v>12</v>
      </c>
      <c r="E949" s="218">
        <f t="shared" si="28"/>
        <v>42000</v>
      </c>
      <c r="F949" s="60" t="s">
        <v>166</v>
      </c>
      <c r="G949" s="66"/>
      <c r="H949" s="66"/>
      <c r="I949" s="66"/>
      <c r="J949" s="66"/>
      <c r="K949" s="66"/>
      <c r="L949" s="66"/>
      <c r="M949" s="66"/>
      <c r="N949" s="66"/>
      <c r="O949" s="66"/>
      <c r="P949" s="64">
        <v>3500</v>
      </c>
      <c r="Q949" s="66"/>
      <c r="R949" s="66"/>
      <c r="S949" s="214"/>
      <c r="T949" s="219">
        <f t="shared" si="29"/>
        <v>3500</v>
      </c>
    </row>
    <row r="950" spans="1:20" ht="22.5">
      <c r="A950" s="17" t="s">
        <v>236</v>
      </c>
      <c r="B950" s="73">
        <v>1</v>
      </c>
      <c r="C950" s="67"/>
      <c r="D950" s="212">
        <v>12</v>
      </c>
      <c r="E950" s="218">
        <f t="shared" si="28"/>
        <v>40800</v>
      </c>
      <c r="F950" s="60" t="s">
        <v>166</v>
      </c>
      <c r="G950" s="66"/>
      <c r="H950" s="66"/>
      <c r="I950" s="66"/>
      <c r="J950" s="66"/>
      <c r="K950" s="66"/>
      <c r="L950" s="66"/>
      <c r="M950" s="66"/>
      <c r="N950" s="66"/>
      <c r="O950" s="66"/>
      <c r="P950" s="64">
        <v>3400</v>
      </c>
      <c r="Q950" s="66"/>
      <c r="R950" s="66"/>
      <c r="S950" s="214"/>
      <c r="T950" s="219">
        <f t="shared" si="29"/>
        <v>3400</v>
      </c>
    </row>
    <row r="951" spans="1:20" ht="22.5">
      <c r="A951" s="17" t="s">
        <v>353</v>
      </c>
      <c r="B951" s="73">
        <v>1</v>
      </c>
      <c r="C951" s="67"/>
      <c r="D951" s="212">
        <v>12</v>
      </c>
      <c r="E951" s="218">
        <f t="shared" si="28"/>
        <v>234000</v>
      </c>
      <c r="F951" s="60" t="s">
        <v>166</v>
      </c>
      <c r="G951" s="66"/>
      <c r="H951" s="66"/>
      <c r="I951" s="66"/>
      <c r="J951" s="66"/>
      <c r="K951" s="66"/>
      <c r="L951" s="66"/>
      <c r="M951" s="66"/>
      <c r="N951" s="66"/>
      <c r="O951" s="66"/>
      <c r="P951" s="64">
        <v>19500</v>
      </c>
      <c r="Q951" s="66"/>
      <c r="R951" s="66"/>
      <c r="S951" s="214"/>
      <c r="T951" s="219">
        <f t="shared" si="29"/>
        <v>19500</v>
      </c>
    </row>
    <row r="952" spans="1:20" ht="33.75">
      <c r="A952" s="17" t="s">
        <v>425</v>
      </c>
      <c r="B952" s="73">
        <v>1</v>
      </c>
      <c r="C952" s="67"/>
      <c r="D952" s="212">
        <v>12</v>
      </c>
      <c r="E952" s="218">
        <f t="shared" si="28"/>
        <v>120000</v>
      </c>
      <c r="F952" s="60" t="s">
        <v>166</v>
      </c>
      <c r="G952" s="66"/>
      <c r="H952" s="66"/>
      <c r="I952" s="66"/>
      <c r="J952" s="66"/>
      <c r="K952" s="66"/>
      <c r="L952" s="66"/>
      <c r="M952" s="66"/>
      <c r="N952" s="66"/>
      <c r="O952" s="66"/>
      <c r="P952" s="64">
        <v>10000</v>
      </c>
      <c r="Q952" s="66"/>
      <c r="R952" s="66"/>
      <c r="S952" s="214"/>
      <c r="T952" s="219">
        <f t="shared" si="29"/>
        <v>10000</v>
      </c>
    </row>
    <row r="953" spans="1:20" ht="45">
      <c r="A953" s="17" t="s">
        <v>341</v>
      </c>
      <c r="B953" s="73">
        <v>1</v>
      </c>
      <c r="C953" s="67"/>
      <c r="D953" s="212">
        <v>12</v>
      </c>
      <c r="E953" s="218">
        <f t="shared" si="28"/>
        <v>72000</v>
      </c>
      <c r="F953" s="60" t="s">
        <v>166</v>
      </c>
      <c r="G953" s="66"/>
      <c r="H953" s="66"/>
      <c r="I953" s="66"/>
      <c r="J953" s="66"/>
      <c r="K953" s="66"/>
      <c r="L953" s="66"/>
      <c r="M953" s="66"/>
      <c r="N953" s="66"/>
      <c r="O953" s="66"/>
      <c r="P953" s="64">
        <v>6000</v>
      </c>
      <c r="Q953" s="66"/>
      <c r="R953" s="66"/>
      <c r="S953" s="214"/>
      <c r="T953" s="219">
        <f t="shared" si="29"/>
        <v>6000</v>
      </c>
    </row>
    <row r="954" spans="1:20" ht="33.75">
      <c r="A954" s="17" t="s">
        <v>392</v>
      </c>
      <c r="B954" s="73">
        <v>1</v>
      </c>
      <c r="C954" s="67"/>
      <c r="D954" s="212">
        <v>12</v>
      </c>
      <c r="E954" s="218">
        <f t="shared" si="28"/>
        <v>54000</v>
      </c>
      <c r="F954" s="60" t="s">
        <v>166</v>
      </c>
      <c r="G954" s="66"/>
      <c r="H954" s="66"/>
      <c r="I954" s="66"/>
      <c r="J954" s="66"/>
      <c r="K954" s="66"/>
      <c r="L954" s="66"/>
      <c r="M954" s="66"/>
      <c r="N954" s="66"/>
      <c r="O954" s="66"/>
      <c r="P954" s="64">
        <v>4500</v>
      </c>
      <c r="Q954" s="66"/>
      <c r="R954" s="66"/>
      <c r="S954" s="214"/>
      <c r="T954" s="219">
        <f t="shared" si="29"/>
        <v>4500</v>
      </c>
    </row>
    <row r="955" spans="1:20" ht="22.5">
      <c r="A955" s="17" t="s">
        <v>216</v>
      </c>
      <c r="B955" s="73">
        <v>1</v>
      </c>
      <c r="C955" s="67"/>
      <c r="D955" s="212">
        <v>12</v>
      </c>
      <c r="E955" s="218">
        <f t="shared" si="28"/>
        <v>42000</v>
      </c>
      <c r="F955" s="60" t="s">
        <v>166</v>
      </c>
      <c r="G955" s="66"/>
      <c r="H955" s="66"/>
      <c r="I955" s="66"/>
      <c r="J955" s="66"/>
      <c r="K955" s="66"/>
      <c r="L955" s="66"/>
      <c r="M955" s="66"/>
      <c r="N955" s="66"/>
      <c r="O955" s="66"/>
      <c r="P955" s="64">
        <v>3500</v>
      </c>
      <c r="Q955" s="66"/>
      <c r="R955" s="66"/>
      <c r="S955" s="214"/>
      <c r="T955" s="219">
        <f t="shared" si="29"/>
        <v>3500</v>
      </c>
    </row>
    <row r="956" spans="1:20" ht="22.5">
      <c r="A956" s="17" t="s">
        <v>216</v>
      </c>
      <c r="B956" s="73">
        <v>1</v>
      </c>
      <c r="C956" s="67"/>
      <c r="D956" s="212">
        <v>12</v>
      </c>
      <c r="E956" s="218">
        <f t="shared" si="28"/>
        <v>42000</v>
      </c>
      <c r="F956" s="60" t="s">
        <v>166</v>
      </c>
      <c r="G956" s="66"/>
      <c r="H956" s="66"/>
      <c r="I956" s="66"/>
      <c r="J956" s="66"/>
      <c r="K956" s="66"/>
      <c r="L956" s="66"/>
      <c r="M956" s="66"/>
      <c r="N956" s="66"/>
      <c r="O956" s="66"/>
      <c r="P956" s="64">
        <v>3500</v>
      </c>
      <c r="Q956" s="66"/>
      <c r="R956" s="66"/>
      <c r="S956" s="214"/>
      <c r="T956" s="219">
        <f t="shared" si="29"/>
        <v>3500</v>
      </c>
    </row>
    <row r="957" spans="1:20" ht="33.75">
      <c r="A957" s="17" t="s">
        <v>436</v>
      </c>
      <c r="B957" s="73">
        <v>1</v>
      </c>
      <c r="C957" s="67"/>
      <c r="D957" s="212">
        <v>12</v>
      </c>
      <c r="E957" s="218">
        <f t="shared" si="28"/>
        <v>192000</v>
      </c>
      <c r="F957" s="60" t="s">
        <v>166</v>
      </c>
      <c r="G957" s="66"/>
      <c r="H957" s="66"/>
      <c r="I957" s="66"/>
      <c r="J957" s="66"/>
      <c r="K957" s="66"/>
      <c r="L957" s="66"/>
      <c r="M957" s="66"/>
      <c r="N957" s="66"/>
      <c r="O957" s="66"/>
      <c r="P957" s="68">
        <v>16000</v>
      </c>
      <c r="Q957" s="66"/>
      <c r="R957" s="66"/>
      <c r="S957" s="214"/>
      <c r="T957" s="219">
        <f t="shared" si="29"/>
        <v>16000</v>
      </c>
    </row>
    <row r="958" spans="1:20" ht="33.75">
      <c r="A958" s="17" t="s">
        <v>437</v>
      </c>
      <c r="B958" s="73">
        <v>1</v>
      </c>
      <c r="C958" s="67"/>
      <c r="D958" s="212">
        <v>12</v>
      </c>
      <c r="E958" s="218">
        <f t="shared" si="28"/>
        <v>162000</v>
      </c>
      <c r="F958" s="60" t="s">
        <v>166</v>
      </c>
      <c r="G958" s="66"/>
      <c r="H958" s="66"/>
      <c r="I958" s="66"/>
      <c r="J958" s="66"/>
      <c r="K958" s="66"/>
      <c r="L958" s="66"/>
      <c r="M958" s="66"/>
      <c r="N958" s="66"/>
      <c r="O958" s="66"/>
      <c r="P958" s="68">
        <v>13500</v>
      </c>
      <c r="Q958" s="66"/>
      <c r="R958" s="66"/>
      <c r="S958" s="214"/>
      <c r="T958" s="219">
        <f t="shared" si="29"/>
        <v>13500</v>
      </c>
    </row>
    <row r="959" spans="1:20" ht="33.75">
      <c r="A959" s="17" t="s">
        <v>438</v>
      </c>
      <c r="B959" s="73">
        <v>1</v>
      </c>
      <c r="C959" s="67"/>
      <c r="D959" s="212">
        <v>12</v>
      </c>
      <c r="E959" s="218">
        <f t="shared" si="28"/>
        <v>180000</v>
      </c>
      <c r="F959" s="60" t="s">
        <v>166</v>
      </c>
      <c r="G959" s="66"/>
      <c r="H959" s="66"/>
      <c r="I959" s="66"/>
      <c r="J959" s="66"/>
      <c r="K959" s="66"/>
      <c r="L959" s="66"/>
      <c r="M959" s="66"/>
      <c r="N959" s="66"/>
      <c r="O959" s="66"/>
      <c r="P959" s="68">
        <v>15000</v>
      </c>
      <c r="Q959" s="66"/>
      <c r="R959" s="66"/>
      <c r="S959" s="214"/>
      <c r="T959" s="219">
        <f t="shared" si="29"/>
        <v>15000</v>
      </c>
    </row>
    <row r="960" spans="1:20" ht="33.75">
      <c r="A960" s="17" t="s">
        <v>439</v>
      </c>
      <c r="B960" s="73">
        <v>1</v>
      </c>
      <c r="C960" s="67"/>
      <c r="D960" s="212">
        <v>12</v>
      </c>
      <c r="E960" s="218">
        <f t="shared" si="28"/>
        <v>204000</v>
      </c>
      <c r="F960" s="60" t="s">
        <v>166</v>
      </c>
      <c r="G960" s="66"/>
      <c r="H960" s="66"/>
      <c r="I960" s="66"/>
      <c r="J960" s="66"/>
      <c r="K960" s="66"/>
      <c r="L960" s="66"/>
      <c r="M960" s="66"/>
      <c r="N960" s="66"/>
      <c r="O960" s="66"/>
      <c r="P960" s="68">
        <v>17000</v>
      </c>
      <c r="Q960" s="66"/>
      <c r="R960" s="66"/>
      <c r="S960" s="214"/>
      <c r="T960" s="219">
        <f t="shared" si="29"/>
        <v>17000</v>
      </c>
    </row>
    <row r="961" spans="1:20" ht="45">
      <c r="A961" s="17" t="s">
        <v>249</v>
      </c>
      <c r="B961" s="73">
        <v>1</v>
      </c>
      <c r="C961" s="67"/>
      <c r="D961" s="212">
        <v>12</v>
      </c>
      <c r="E961" s="218">
        <f t="shared" si="28"/>
        <v>114000</v>
      </c>
      <c r="F961" s="60" t="s">
        <v>166</v>
      </c>
      <c r="G961" s="66"/>
      <c r="H961" s="66"/>
      <c r="I961" s="66"/>
      <c r="J961" s="66"/>
      <c r="K961" s="66"/>
      <c r="L961" s="66"/>
      <c r="M961" s="66"/>
      <c r="N961" s="66"/>
      <c r="O961" s="66"/>
      <c r="P961" s="68">
        <v>9500</v>
      </c>
      <c r="Q961" s="66"/>
      <c r="R961" s="66"/>
      <c r="S961" s="214"/>
      <c r="T961" s="219">
        <f t="shared" si="29"/>
        <v>9500</v>
      </c>
    </row>
    <row r="962" spans="1:20" ht="33.75">
      <c r="A962" s="17" t="s">
        <v>440</v>
      </c>
      <c r="B962" s="73">
        <v>1</v>
      </c>
      <c r="C962" s="67"/>
      <c r="D962" s="212">
        <v>12</v>
      </c>
      <c r="E962" s="218">
        <f t="shared" si="28"/>
        <v>234000</v>
      </c>
      <c r="F962" s="60" t="s">
        <v>166</v>
      </c>
      <c r="G962" s="66"/>
      <c r="H962" s="66"/>
      <c r="I962" s="66"/>
      <c r="J962" s="66"/>
      <c r="K962" s="66"/>
      <c r="L962" s="66"/>
      <c r="M962" s="66"/>
      <c r="N962" s="66"/>
      <c r="O962" s="66"/>
      <c r="P962" s="68">
        <v>19500</v>
      </c>
      <c r="Q962" s="66"/>
      <c r="R962" s="66"/>
      <c r="S962" s="214"/>
      <c r="T962" s="219">
        <f t="shared" si="29"/>
        <v>19500</v>
      </c>
    </row>
    <row r="963" spans="1:20" ht="33.75">
      <c r="A963" s="17" t="s">
        <v>441</v>
      </c>
      <c r="B963" s="73">
        <v>1</v>
      </c>
      <c r="C963" s="67"/>
      <c r="D963" s="212">
        <v>12</v>
      </c>
      <c r="E963" s="218">
        <f t="shared" si="28"/>
        <v>168000</v>
      </c>
      <c r="F963" s="60" t="s">
        <v>166</v>
      </c>
      <c r="G963" s="66"/>
      <c r="H963" s="66"/>
      <c r="I963" s="66"/>
      <c r="J963" s="66"/>
      <c r="K963" s="66"/>
      <c r="L963" s="66"/>
      <c r="M963" s="66"/>
      <c r="N963" s="66"/>
      <c r="O963" s="66"/>
      <c r="P963" s="68">
        <v>14000</v>
      </c>
      <c r="Q963" s="66"/>
      <c r="R963" s="66"/>
      <c r="S963" s="214"/>
      <c r="T963" s="219">
        <f t="shared" si="29"/>
        <v>14000</v>
      </c>
    </row>
    <row r="964" spans="1:20" ht="33.75">
      <c r="A964" s="17" t="s">
        <v>441</v>
      </c>
      <c r="B964" s="73">
        <v>1</v>
      </c>
      <c r="C964" s="67"/>
      <c r="D964" s="212">
        <v>12</v>
      </c>
      <c r="E964" s="218">
        <f t="shared" si="28"/>
        <v>162000</v>
      </c>
      <c r="F964" s="60" t="s">
        <v>166</v>
      </c>
      <c r="G964" s="66"/>
      <c r="H964" s="66"/>
      <c r="I964" s="66"/>
      <c r="J964" s="66"/>
      <c r="K964" s="66"/>
      <c r="L964" s="66"/>
      <c r="M964" s="66"/>
      <c r="N964" s="66"/>
      <c r="O964" s="66"/>
      <c r="P964" s="68">
        <v>13500</v>
      </c>
      <c r="Q964" s="66"/>
      <c r="R964" s="66"/>
      <c r="S964" s="214"/>
      <c r="T964" s="219">
        <f t="shared" si="29"/>
        <v>13500</v>
      </c>
    </row>
    <row r="965" spans="1:20" ht="33.75">
      <c r="A965" s="17" t="s">
        <v>441</v>
      </c>
      <c r="B965" s="73">
        <v>1</v>
      </c>
      <c r="C965" s="67"/>
      <c r="D965" s="212">
        <v>12</v>
      </c>
      <c r="E965" s="218">
        <f t="shared" si="28"/>
        <v>162000</v>
      </c>
      <c r="F965" s="60" t="s">
        <v>166</v>
      </c>
      <c r="G965" s="66"/>
      <c r="H965" s="66"/>
      <c r="I965" s="66"/>
      <c r="J965" s="66"/>
      <c r="K965" s="66"/>
      <c r="L965" s="66"/>
      <c r="M965" s="66"/>
      <c r="N965" s="66"/>
      <c r="O965" s="66"/>
      <c r="P965" s="68">
        <v>13500</v>
      </c>
      <c r="Q965" s="66"/>
      <c r="R965" s="66"/>
      <c r="S965" s="214"/>
      <c r="T965" s="219">
        <f t="shared" si="29"/>
        <v>13500</v>
      </c>
    </row>
    <row r="966" spans="1:20" ht="33.75">
      <c r="A966" s="17" t="s">
        <v>441</v>
      </c>
      <c r="B966" s="73">
        <v>1</v>
      </c>
      <c r="C966" s="67"/>
      <c r="D966" s="212">
        <v>12</v>
      </c>
      <c r="E966" s="218">
        <f t="shared" si="28"/>
        <v>204000</v>
      </c>
      <c r="F966" s="60" t="s">
        <v>166</v>
      </c>
      <c r="G966" s="66"/>
      <c r="H966" s="66"/>
      <c r="I966" s="66"/>
      <c r="J966" s="66"/>
      <c r="K966" s="66"/>
      <c r="L966" s="66"/>
      <c r="M966" s="66"/>
      <c r="N966" s="66"/>
      <c r="O966" s="66"/>
      <c r="P966" s="68">
        <v>17000</v>
      </c>
      <c r="Q966" s="66"/>
      <c r="R966" s="66"/>
      <c r="S966" s="214"/>
      <c r="T966" s="219">
        <f t="shared" si="29"/>
        <v>17000</v>
      </c>
    </row>
    <row r="967" spans="1:20" ht="22.5">
      <c r="A967" s="17" t="s">
        <v>442</v>
      </c>
      <c r="B967" s="73">
        <v>1</v>
      </c>
      <c r="C967" s="67"/>
      <c r="D967" s="212">
        <v>12</v>
      </c>
      <c r="E967" s="218">
        <f t="shared" ref="E967:E1000" si="30">T967*12</f>
        <v>180000</v>
      </c>
      <c r="F967" s="60" t="s">
        <v>166</v>
      </c>
      <c r="G967" s="66"/>
      <c r="H967" s="66"/>
      <c r="I967" s="66"/>
      <c r="J967" s="66"/>
      <c r="K967" s="66"/>
      <c r="L967" s="66"/>
      <c r="M967" s="66"/>
      <c r="N967" s="66"/>
      <c r="O967" s="66"/>
      <c r="P967" s="68">
        <v>15000</v>
      </c>
      <c r="Q967" s="66"/>
      <c r="R967" s="66"/>
      <c r="S967" s="214"/>
      <c r="T967" s="219">
        <f t="shared" si="29"/>
        <v>15000</v>
      </c>
    </row>
    <row r="968" spans="1:20" ht="33.75">
      <c r="A968" s="17" t="s">
        <v>327</v>
      </c>
      <c r="B968" s="73">
        <v>1</v>
      </c>
      <c r="C968" s="67"/>
      <c r="D968" s="212">
        <v>12</v>
      </c>
      <c r="E968" s="218">
        <f t="shared" si="30"/>
        <v>162000</v>
      </c>
      <c r="F968" s="60" t="s">
        <v>166</v>
      </c>
      <c r="G968" s="66"/>
      <c r="H968" s="66"/>
      <c r="I968" s="66"/>
      <c r="J968" s="66"/>
      <c r="K968" s="66"/>
      <c r="L968" s="66"/>
      <c r="M968" s="66"/>
      <c r="N968" s="66"/>
      <c r="O968" s="66"/>
      <c r="P968" s="68">
        <v>13500</v>
      </c>
      <c r="Q968" s="66"/>
      <c r="R968" s="66"/>
      <c r="S968" s="214"/>
      <c r="T968" s="219">
        <f t="shared" ref="T968:T1001" si="31">SUM(G968:S968)</f>
        <v>13500</v>
      </c>
    </row>
    <row r="969" spans="1:20" ht="33.75">
      <c r="A969" s="17" t="s">
        <v>443</v>
      </c>
      <c r="B969" s="73">
        <v>1</v>
      </c>
      <c r="C969" s="67"/>
      <c r="D969" s="212">
        <v>12</v>
      </c>
      <c r="E969" s="218">
        <f t="shared" si="30"/>
        <v>192000</v>
      </c>
      <c r="F969" s="60" t="s">
        <v>166</v>
      </c>
      <c r="G969" s="66"/>
      <c r="H969" s="66"/>
      <c r="I969" s="66"/>
      <c r="J969" s="66"/>
      <c r="K969" s="66"/>
      <c r="L969" s="66"/>
      <c r="M969" s="66"/>
      <c r="N969" s="66"/>
      <c r="O969" s="66"/>
      <c r="P969" s="68">
        <v>16000</v>
      </c>
      <c r="Q969" s="66"/>
      <c r="R969" s="66"/>
      <c r="S969" s="214"/>
      <c r="T969" s="219">
        <f t="shared" si="31"/>
        <v>16000</v>
      </c>
    </row>
    <row r="970" spans="1:20" ht="22.5">
      <c r="A970" s="17" t="s">
        <v>444</v>
      </c>
      <c r="B970" s="73">
        <v>1</v>
      </c>
      <c r="C970" s="67"/>
      <c r="D970" s="212">
        <v>12</v>
      </c>
      <c r="E970" s="218">
        <f t="shared" si="30"/>
        <v>84000</v>
      </c>
      <c r="F970" s="60" t="s">
        <v>166</v>
      </c>
      <c r="G970" s="66"/>
      <c r="H970" s="66"/>
      <c r="I970" s="66"/>
      <c r="J970" s="66"/>
      <c r="K970" s="66"/>
      <c r="L970" s="66"/>
      <c r="M970" s="66"/>
      <c r="N970" s="66"/>
      <c r="O970" s="66"/>
      <c r="P970" s="68">
        <v>7000</v>
      </c>
      <c r="Q970" s="66"/>
      <c r="R970" s="66"/>
      <c r="S970" s="214"/>
      <c r="T970" s="219">
        <f t="shared" si="31"/>
        <v>7000</v>
      </c>
    </row>
    <row r="971" spans="1:20" ht="22.5">
      <c r="A971" s="17" t="s">
        <v>445</v>
      </c>
      <c r="B971" s="73">
        <v>1</v>
      </c>
      <c r="C971" s="67"/>
      <c r="D971" s="212">
        <v>12</v>
      </c>
      <c r="E971" s="218">
        <f t="shared" si="30"/>
        <v>234000</v>
      </c>
      <c r="F971" s="60" t="s">
        <v>166</v>
      </c>
      <c r="G971" s="66"/>
      <c r="H971" s="66"/>
      <c r="I971" s="66"/>
      <c r="J971" s="66"/>
      <c r="K971" s="66"/>
      <c r="L971" s="66"/>
      <c r="M971" s="66"/>
      <c r="N971" s="66"/>
      <c r="O971" s="66"/>
      <c r="P971" s="68">
        <v>19500</v>
      </c>
      <c r="Q971" s="66"/>
      <c r="R971" s="66"/>
      <c r="S971" s="214"/>
      <c r="T971" s="219">
        <f t="shared" si="31"/>
        <v>19500</v>
      </c>
    </row>
    <row r="972" spans="1:20" ht="22.5">
      <c r="A972" s="17" t="s">
        <v>446</v>
      </c>
      <c r="B972" s="73">
        <v>1</v>
      </c>
      <c r="C972" s="67"/>
      <c r="D972" s="212">
        <v>12</v>
      </c>
      <c r="E972" s="218">
        <f t="shared" si="30"/>
        <v>96000</v>
      </c>
      <c r="F972" s="60" t="s">
        <v>166</v>
      </c>
      <c r="G972" s="66"/>
      <c r="H972" s="66"/>
      <c r="I972" s="66"/>
      <c r="J972" s="66"/>
      <c r="K972" s="66"/>
      <c r="L972" s="66"/>
      <c r="M972" s="66"/>
      <c r="N972" s="66"/>
      <c r="O972" s="66"/>
      <c r="P972" s="68">
        <v>8000</v>
      </c>
      <c r="Q972" s="66"/>
      <c r="R972" s="66"/>
      <c r="S972" s="214"/>
      <c r="T972" s="219">
        <f t="shared" si="31"/>
        <v>8000</v>
      </c>
    </row>
    <row r="973" spans="1:20" ht="22.5">
      <c r="A973" s="17" t="s">
        <v>363</v>
      </c>
      <c r="B973" s="73">
        <v>1</v>
      </c>
      <c r="C973" s="67"/>
      <c r="D973" s="212">
        <v>12</v>
      </c>
      <c r="E973" s="218">
        <f t="shared" si="30"/>
        <v>84000</v>
      </c>
      <c r="F973" s="60" t="s">
        <v>166</v>
      </c>
      <c r="G973" s="66"/>
      <c r="H973" s="66"/>
      <c r="I973" s="66"/>
      <c r="J973" s="66"/>
      <c r="K973" s="66"/>
      <c r="L973" s="66"/>
      <c r="M973" s="66"/>
      <c r="N973" s="66"/>
      <c r="O973" s="66"/>
      <c r="P973" s="68">
        <v>7000</v>
      </c>
      <c r="Q973" s="66"/>
      <c r="R973" s="66"/>
      <c r="S973" s="214"/>
      <c r="T973" s="219">
        <f t="shared" si="31"/>
        <v>7000</v>
      </c>
    </row>
    <row r="974" spans="1:20" ht="22.5">
      <c r="A974" s="17" t="s">
        <v>365</v>
      </c>
      <c r="B974" s="73">
        <v>1</v>
      </c>
      <c r="C974" s="67"/>
      <c r="D974" s="212">
        <v>12</v>
      </c>
      <c r="E974" s="218">
        <f t="shared" si="30"/>
        <v>96000</v>
      </c>
      <c r="F974" s="60" t="s">
        <v>166</v>
      </c>
      <c r="G974" s="66"/>
      <c r="H974" s="66"/>
      <c r="I974" s="66"/>
      <c r="J974" s="66"/>
      <c r="K974" s="66"/>
      <c r="L974" s="66"/>
      <c r="M974" s="66"/>
      <c r="N974" s="66"/>
      <c r="O974" s="66"/>
      <c r="P974" s="68">
        <v>8000</v>
      </c>
      <c r="Q974" s="66"/>
      <c r="R974" s="66"/>
      <c r="S974" s="214"/>
      <c r="T974" s="219">
        <f t="shared" si="31"/>
        <v>8000</v>
      </c>
    </row>
    <row r="975" spans="1:20" ht="22.5">
      <c r="A975" s="17" t="s">
        <v>447</v>
      </c>
      <c r="B975" s="73">
        <v>1</v>
      </c>
      <c r="C975" s="67"/>
      <c r="D975" s="212">
        <v>12</v>
      </c>
      <c r="E975" s="218">
        <f t="shared" si="30"/>
        <v>72000</v>
      </c>
      <c r="F975" s="60" t="s">
        <v>166</v>
      </c>
      <c r="G975" s="66"/>
      <c r="H975" s="66"/>
      <c r="I975" s="66"/>
      <c r="J975" s="66"/>
      <c r="K975" s="66"/>
      <c r="L975" s="66"/>
      <c r="M975" s="66"/>
      <c r="N975" s="66"/>
      <c r="O975" s="66"/>
      <c r="P975" s="68">
        <v>6000</v>
      </c>
      <c r="Q975" s="66"/>
      <c r="R975" s="66"/>
      <c r="S975" s="214"/>
      <c r="T975" s="219">
        <f t="shared" si="31"/>
        <v>6000</v>
      </c>
    </row>
    <row r="976" spans="1:20" ht="22.5">
      <c r="A976" s="17" t="s">
        <v>447</v>
      </c>
      <c r="B976" s="73">
        <v>1</v>
      </c>
      <c r="C976" s="67"/>
      <c r="D976" s="212">
        <v>12</v>
      </c>
      <c r="E976" s="218">
        <f t="shared" si="30"/>
        <v>72000</v>
      </c>
      <c r="F976" s="60" t="s">
        <v>166</v>
      </c>
      <c r="G976" s="66"/>
      <c r="H976" s="66"/>
      <c r="I976" s="66"/>
      <c r="J976" s="66"/>
      <c r="K976" s="66"/>
      <c r="L976" s="66"/>
      <c r="M976" s="66"/>
      <c r="N976" s="66"/>
      <c r="O976" s="66"/>
      <c r="P976" s="68">
        <v>6000</v>
      </c>
      <c r="Q976" s="66"/>
      <c r="R976" s="66"/>
      <c r="S976" s="214"/>
      <c r="T976" s="219">
        <f t="shared" si="31"/>
        <v>6000</v>
      </c>
    </row>
    <row r="977" spans="1:20" ht="22.5">
      <c r="A977" s="17" t="s">
        <v>448</v>
      </c>
      <c r="B977" s="73">
        <v>1</v>
      </c>
      <c r="C977" s="67"/>
      <c r="D977" s="212">
        <v>12</v>
      </c>
      <c r="E977" s="218">
        <f t="shared" si="30"/>
        <v>300000</v>
      </c>
      <c r="F977" s="60" t="s">
        <v>166</v>
      </c>
      <c r="G977" s="66"/>
      <c r="H977" s="66"/>
      <c r="I977" s="66"/>
      <c r="J977" s="66"/>
      <c r="K977" s="66"/>
      <c r="L977" s="66"/>
      <c r="M977" s="66"/>
      <c r="N977" s="66"/>
      <c r="O977" s="66"/>
      <c r="P977" s="68">
        <v>25000</v>
      </c>
      <c r="Q977" s="66"/>
      <c r="R977" s="66"/>
      <c r="S977" s="214"/>
      <c r="T977" s="219">
        <f t="shared" si="31"/>
        <v>25000</v>
      </c>
    </row>
    <row r="978" spans="1:20" ht="33.75">
      <c r="A978" s="17" t="s">
        <v>449</v>
      </c>
      <c r="B978" s="73">
        <v>1</v>
      </c>
      <c r="C978" s="67"/>
      <c r="D978" s="212">
        <v>12</v>
      </c>
      <c r="E978" s="218">
        <f t="shared" si="30"/>
        <v>72000</v>
      </c>
      <c r="F978" s="60" t="s">
        <v>166</v>
      </c>
      <c r="G978" s="66"/>
      <c r="H978" s="66"/>
      <c r="I978" s="66"/>
      <c r="J978" s="66"/>
      <c r="K978" s="66"/>
      <c r="L978" s="66"/>
      <c r="M978" s="66"/>
      <c r="N978" s="66"/>
      <c r="O978" s="66"/>
      <c r="P978" s="68">
        <v>6000</v>
      </c>
      <c r="Q978" s="66"/>
      <c r="R978" s="66"/>
      <c r="S978" s="214"/>
      <c r="T978" s="219">
        <f t="shared" si="31"/>
        <v>6000</v>
      </c>
    </row>
    <row r="979" spans="1:20" ht="33.75">
      <c r="A979" s="17" t="s">
        <v>450</v>
      </c>
      <c r="B979" s="73">
        <v>1</v>
      </c>
      <c r="C979" s="67"/>
      <c r="D979" s="212">
        <v>12</v>
      </c>
      <c r="E979" s="218">
        <f t="shared" si="30"/>
        <v>84000</v>
      </c>
      <c r="F979" s="60" t="s">
        <v>166</v>
      </c>
      <c r="G979" s="66"/>
      <c r="H979" s="66"/>
      <c r="I979" s="66"/>
      <c r="J979" s="66"/>
      <c r="K979" s="66"/>
      <c r="L979" s="66"/>
      <c r="M979" s="66"/>
      <c r="N979" s="66"/>
      <c r="O979" s="66"/>
      <c r="P979" s="68">
        <v>7000</v>
      </c>
      <c r="Q979" s="66"/>
      <c r="R979" s="66"/>
      <c r="S979" s="214"/>
      <c r="T979" s="219">
        <f t="shared" si="31"/>
        <v>7000</v>
      </c>
    </row>
    <row r="980" spans="1:20" ht="33.75">
      <c r="A980" s="17" t="s">
        <v>451</v>
      </c>
      <c r="B980" s="73">
        <v>1</v>
      </c>
      <c r="C980" s="67"/>
      <c r="D980" s="212">
        <v>12</v>
      </c>
      <c r="E980" s="218">
        <f t="shared" si="30"/>
        <v>180000</v>
      </c>
      <c r="F980" s="60" t="s">
        <v>166</v>
      </c>
      <c r="G980" s="66"/>
      <c r="H980" s="66"/>
      <c r="I980" s="66"/>
      <c r="J980" s="66"/>
      <c r="K980" s="66"/>
      <c r="L980" s="66"/>
      <c r="M980" s="66"/>
      <c r="N980" s="66"/>
      <c r="O980" s="66"/>
      <c r="P980" s="68">
        <v>15000</v>
      </c>
      <c r="Q980" s="66"/>
      <c r="R980" s="66"/>
      <c r="S980" s="214"/>
      <c r="T980" s="219">
        <f t="shared" si="31"/>
        <v>15000</v>
      </c>
    </row>
    <row r="981" spans="1:20" ht="22.5">
      <c r="A981" s="17" t="s">
        <v>452</v>
      </c>
      <c r="B981" s="73">
        <v>1</v>
      </c>
      <c r="C981" s="67"/>
      <c r="D981" s="212">
        <v>12</v>
      </c>
      <c r="E981" s="218">
        <f t="shared" si="30"/>
        <v>156000</v>
      </c>
      <c r="F981" s="60" t="s">
        <v>166</v>
      </c>
      <c r="G981" s="66"/>
      <c r="H981" s="66"/>
      <c r="I981" s="66"/>
      <c r="J981" s="66"/>
      <c r="K981" s="66"/>
      <c r="L981" s="66"/>
      <c r="M981" s="66"/>
      <c r="N981" s="66"/>
      <c r="O981" s="66"/>
      <c r="P981" s="68">
        <v>13000</v>
      </c>
      <c r="Q981" s="66"/>
      <c r="R981" s="66"/>
      <c r="S981" s="214"/>
      <c r="T981" s="219">
        <f t="shared" si="31"/>
        <v>13000</v>
      </c>
    </row>
    <row r="982" spans="1:20" ht="22.5">
      <c r="A982" s="17" t="s">
        <v>452</v>
      </c>
      <c r="B982" s="73">
        <v>1</v>
      </c>
      <c r="C982" s="67"/>
      <c r="D982" s="212">
        <v>12</v>
      </c>
      <c r="E982" s="218">
        <f t="shared" si="30"/>
        <v>156000</v>
      </c>
      <c r="F982" s="60" t="s">
        <v>166</v>
      </c>
      <c r="G982" s="66"/>
      <c r="H982" s="66"/>
      <c r="I982" s="66"/>
      <c r="J982" s="66"/>
      <c r="K982" s="66"/>
      <c r="L982" s="66"/>
      <c r="M982" s="66"/>
      <c r="N982" s="66"/>
      <c r="O982" s="66"/>
      <c r="P982" s="68">
        <v>13000</v>
      </c>
      <c r="Q982" s="66"/>
      <c r="R982" s="66"/>
      <c r="S982" s="214"/>
      <c r="T982" s="219">
        <f t="shared" si="31"/>
        <v>13000</v>
      </c>
    </row>
    <row r="983" spans="1:20" ht="22.5">
      <c r="A983" s="17" t="s">
        <v>453</v>
      </c>
      <c r="B983" s="73">
        <v>1</v>
      </c>
      <c r="C983" s="67"/>
      <c r="D983" s="212">
        <v>12</v>
      </c>
      <c r="E983" s="218">
        <f t="shared" si="30"/>
        <v>216000</v>
      </c>
      <c r="F983" s="60" t="s">
        <v>166</v>
      </c>
      <c r="G983" s="66"/>
      <c r="H983" s="66"/>
      <c r="I983" s="66"/>
      <c r="J983" s="66"/>
      <c r="K983" s="66"/>
      <c r="L983" s="66"/>
      <c r="M983" s="66"/>
      <c r="N983" s="66"/>
      <c r="O983" s="66"/>
      <c r="P983" s="68">
        <v>18000</v>
      </c>
      <c r="Q983" s="66"/>
      <c r="R983" s="66"/>
      <c r="S983" s="214"/>
      <c r="T983" s="219">
        <f t="shared" si="31"/>
        <v>18000</v>
      </c>
    </row>
    <row r="984" spans="1:20" ht="22.5">
      <c r="A984" s="17" t="s">
        <v>452</v>
      </c>
      <c r="B984" s="73">
        <v>1</v>
      </c>
      <c r="C984" s="67"/>
      <c r="D984" s="212">
        <v>12</v>
      </c>
      <c r="E984" s="218">
        <f t="shared" si="30"/>
        <v>156000</v>
      </c>
      <c r="F984" s="60" t="s">
        <v>166</v>
      </c>
      <c r="G984" s="66"/>
      <c r="H984" s="66"/>
      <c r="I984" s="66"/>
      <c r="J984" s="66"/>
      <c r="K984" s="66"/>
      <c r="L984" s="66"/>
      <c r="M984" s="66"/>
      <c r="N984" s="66"/>
      <c r="O984" s="66"/>
      <c r="P984" s="68">
        <v>13000</v>
      </c>
      <c r="Q984" s="66"/>
      <c r="R984" s="66"/>
      <c r="S984" s="214"/>
      <c r="T984" s="219">
        <f t="shared" si="31"/>
        <v>13000</v>
      </c>
    </row>
    <row r="985" spans="1:20" ht="22.5">
      <c r="A985" s="17" t="s">
        <v>452</v>
      </c>
      <c r="B985" s="73">
        <v>1</v>
      </c>
      <c r="C985" s="67"/>
      <c r="D985" s="212">
        <v>12</v>
      </c>
      <c r="E985" s="218">
        <f t="shared" si="30"/>
        <v>156000</v>
      </c>
      <c r="F985" s="60" t="s">
        <v>166</v>
      </c>
      <c r="G985" s="66"/>
      <c r="H985" s="66"/>
      <c r="I985" s="66"/>
      <c r="J985" s="66"/>
      <c r="K985" s="66"/>
      <c r="L985" s="66"/>
      <c r="M985" s="66"/>
      <c r="N985" s="66"/>
      <c r="O985" s="66"/>
      <c r="P985" s="68">
        <v>13000</v>
      </c>
      <c r="Q985" s="66"/>
      <c r="R985" s="66"/>
      <c r="S985" s="214"/>
      <c r="T985" s="219">
        <f t="shared" si="31"/>
        <v>13000</v>
      </c>
    </row>
    <row r="986" spans="1:20" ht="22.5">
      <c r="A986" s="17" t="s">
        <v>454</v>
      </c>
      <c r="B986" s="73">
        <v>1</v>
      </c>
      <c r="C986" s="67"/>
      <c r="D986" s="212">
        <v>12</v>
      </c>
      <c r="E986" s="218">
        <f t="shared" si="30"/>
        <v>216000</v>
      </c>
      <c r="F986" s="60" t="s">
        <v>166</v>
      </c>
      <c r="G986" s="66"/>
      <c r="H986" s="66"/>
      <c r="I986" s="66"/>
      <c r="J986" s="66"/>
      <c r="K986" s="66"/>
      <c r="L986" s="66"/>
      <c r="M986" s="66"/>
      <c r="N986" s="66"/>
      <c r="O986" s="66"/>
      <c r="P986" s="68">
        <v>18000</v>
      </c>
      <c r="Q986" s="66"/>
      <c r="R986" s="66"/>
      <c r="S986" s="214"/>
      <c r="T986" s="219">
        <f t="shared" si="31"/>
        <v>18000</v>
      </c>
    </row>
    <row r="987" spans="1:20" ht="22.5">
      <c r="A987" s="17" t="s">
        <v>417</v>
      </c>
      <c r="B987" s="73">
        <v>1</v>
      </c>
      <c r="C987" s="67"/>
      <c r="D987" s="212">
        <v>12</v>
      </c>
      <c r="E987" s="218">
        <f t="shared" si="30"/>
        <v>228000</v>
      </c>
      <c r="F987" s="60" t="s">
        <v>166</v>
      </c>
      <c r="G987" s="66"/>
      <c r="H987" s="66"/>
      <c r="I987" s="66"/>
      <c r="J987" s="66"/>
      <c r="K987" s="66"/>
      <c r="L987" s="66"/>
      <c r="M987" s="66"/>
      <c r="N987" s="66"/>
      <c r="O987" s="66"/>
      <c r="P987" s="68">
        <v>19000</v>
      </c>
      <c r="Q987" s="66"/>
      <c r="R987" s="66"/>
      <c r="S987" s="214"/>
      <c r="T987" s="219">
        <f t="shared" si="31"/>
        <v>19000</v>
      </c>
    </row>
    <row r="988" spans="1:20" ht="18" customHeight="1">
      <c r="A988" s="17" t="s">
        <v>455</v>
      </c>
      <c r="B988" s="73">
        <v>1</v>
      </c>
      <c r="C988" s="67"/>
      <c r="D988" s="212">
        <v>12</v>
      </c>
      <c r="E988" s="218">
        <f t="shared" si="30"/>
        <v>276000</v>
      </c>
      <c r="F988" s="60" t="s">
        <v>166</v>
      </c>
      <c r="G988" s="66"/>
      <c r="H988" s="66"/>
      <c r="I988" s="66"/>
      <c r="J988" s="66"/>
      <c r="K988" s="66"/>
      <c r="L988" s="66"/>
      <c r="M988" s="66"/>
      <c r="N988" s="66"/>
      <c r="O988" s="66"/>
      <c r="P988" s="68">
        <v>23000</v>
      </c>
      <c r="Q988" s="66"/>
      <c r="R988" s="66"/>
      <c r="S988" s="214"/>
      <c r="T988" s="219">
        <f t="shared" si="31"/>
        <v>23000</v>
      </c>
    </row>
    <row r="989" spans="1:20" ht="22.5">
      <c r="A989" s="17" t="s">
        <v>453</v>
      </c>
      <c r="B989" s="73">
        <v>1</v>
      </c>
      <c r="C989" s="67"/>
      <c r="D989" s="212">
        <v>12</v>
      </c>
      <c r="E989" s="218">
        <f t="shared" si="30"/>
        <v>180000</v>
      </c>
      <c r="F989" s="60" t="s">
        <v>166</v>
      </c>
      <c r="G989" s="66"/>
      <c r="H989" s="66"/>
      <c r="I989" s="66"/>
      <c r="J989" s="66"/>
      <c r="K989" s="66"/>
      <c r="L989" s="66"/>
      <c r="M989" s="66"/>
      <c r="N989" s="66"/>
      <c r="O989" s="66"/>
      <c r="P989" s="68">
        <v>15000</v>
      </c>
      <c r="Q989" s="66"/>
      <c r="R989" s="66"/>
      <c r="S989" s="214"/>
      <c r="T989" s="219">
        <f t="shared" si="31"/>
        <v>15000</v>
      </c>
    </row>
    <row r="990" spans="1:20" ht="33.75">
      <c r="A990" s="17" t="s">
        <v>456</v>
      </c>
      <c r="B990" s="73">
        <v>1</v>
      </c>
      <c r="C990" s="67"/>
      <c r="D990" s="212">
        <v>12</v>
      </c>
      <c r="E990" s="218">
        <f t="shared" si="30"/>
        <v>234000</v>
      </c>
      <c r="F990" s="60" t="s">
        <v>166</v>
      </c>
      <c r="G990" s="66"/>
      <c r="H990" s="66"/>
      <c r="I990" s="66"/>
      <c r="J990" s="66"/>
      <c r="K990" s="66"/>
      <c r="L990" s="66"/>
      <c r="M990" s="66"/>
      <c r="N990" s="66"/>
      <c r="O990" s="66"/>
      <c r="P990" s="68">
        <v>19500</v>
      </c>
      <c r="Q990" s="66"/>
      <c r="R990" s="66"/>
      <c r="S990" s="214"/>
      <c r="T990" s="219">
        <f t="shared" si="31"/>
        <v>19500</v>
      </c>
    </row>
    <row r="991" spans="1:20" ht="22.5">
      <c r="A991" s="17" t="s">
        <v>457</v>
      </c>
      <c r="B991" s="73">
        <v>1</v>
      </c>
      <c r="C991" s="67"/>
      <c r="D991" s="212">
        <v>12</v>
      </c>
      <c r="E991" s="218">
        <f t="shared" si="30"/>
        <v>234000</v>
      </c>
      <c r="F991" s="60" t="s">
        <v>166</v>
      </c>
      <c r="G991" s="66"/>
      <c r="H991" s="66"/>
      <c r="I991" s="66"/>
      <c r="J991" s="66"/>
      <c r="K991" s="66"/>
      <c r="L991" s="66"/>
      <c r="M991" s="66"/>
      <c r="N991" s="66"/>
      <c r="O991" s="66"/>
      <c r="P991" s="68">
        <v>19500</v>
      </c>
      <c r="Q991" s="66"/>
      <c r="R991" s="66"/>
      <c r="S991" s="214"/>
      <c r="T991" s="219">
        <f t="shared" si="31"/>
        <v>19500</v>
      </c>
    </row>
    <row r="992" spans="1:20" ht="22.5">
      <c r="A992" s="17" t="s">
        <v>458</v>
      </c>
      <c r="B992" s="73">
        <v>1</v>
      </c>
      <c r="C992" s="67"/>
      <c r="D992" s="212">
        <v>12</v>
      </c>
      <c r="E992" s="218">
        <f t="shared" si="30"/>
        <v>180000</v>
      </c>
      <c r="F992" s="60" t="s">
        <v>166</v>
      </c>
      <c r="G992" s="66"/>
      <c r="H992" s="66"/>
      <c r="I992" s="66"/>
      <c r="J992" s="66"/>
      <c r="K992" s="66"/>
      <c r="L992" s="66"/>
      <c r="M992" s="66"/>
      <c r="N992" s="66"/>
      <c r="O992" s="66"/>
      <c r="P992" s="68">
        <v>15000</v>
      </c>
      <c r="Q992" s="66"/>
      <c r="R992" s="66"/>
      <c r="S992" s="214"/>
      <c r="T992" s="219">
        <f t="shared" si="31"/>
        <v>15000</v>
      </c>
    </row>
    <row r="993" spans="1:20" ht="22.5">
      <c r="A993" s="17" t="s">
        <v>459</v>
      </c>
      <c r="B993" s="73">
        <v>1</v>
      </c>
      <c r="C993" s="67"/>
      <c r="D993" s="212">
        <v>12</v>
      </c>
      <c r="E993" s="218">
        <f t="shared" si="30"/>
        <v>216000</v>
      </c>
      <c r="F993" s="60" t="s">
        <v>166</v>
      </c>
      <c r="G993" s="66"/>
      <c r="H993" s="66"/>
      <c r="I993" s="66"/>
      <c r="J993" s="66"/>
      <c r="K993" s="66"/>
      <c r="L993" s="66"/>
      <c r="M993" s="66"/>
      <c r="N993" s="66"/>
      <c r="O993" s="66"/>
      <c r="P993" s="68">
        <v>18000</v>
      </c>
      <c r="Q993" s="66"/>
      <c r="R993" s="66"/>
      <c r="S993" s="214"/>
      <c r="T993" s="219">
        <f t="shared" si="31"/>
        <v>18000</v>
      </c>
    </row>
    <row r="994" spans="1:20" ht="22.5">
      <c r="A994" s="17" t="s">
        <v>453</v>
      </c>
      <c r="B994" s="73">
        <v>1</v>
      </c>
      <c r="C994" s="67"/>
      <c r="D994" s="212">
        <v>12</v>
      </c>
      <c r="E994" s="218">
        <f t="shared" si="30"/>
        <v>240000</v>
      </c>
      <c r="F994" s="60" t="s">
        <v>166</v>
      </c>
      <c r="G994" s="66"/>
      <c r="H994" s="66"/>
      <c r="I994" s="66"/>
      <c r="J994" s="66"/>
      <c r="K994" s="66"/>
      <c r="L994" s="66"/>
      <c r="M994" s="66"/>
      <c r="N994" s="66"/>
      <c r="O994" s="66"/>
      <c r="P994" s="68">
        <v>20000</v>
      </c>
      <c r="Q994" s="66"/>
      <c r="R994" s="66"/>
      <c r="S994" s="214"/>
      <c r="T994" s="219">
        <f t="shared" si="31"/>
        <v>20000</v>
      </c>
    </row>
    <row r="995" spans="1:20" ht="22.5">
      <c r="A995" s="17" t="s">
        <v>460</v>
      </c>
      <c r="B995" s="73">
        <v>1</v>
      </c>
      <c r="C995" s="67"/>
      <c r="D995" s="212">
        <v>12</v>
      </c>
      <c r="E995" s="218">
        <f t="shared" si="30"/>
        <v>120000</v>
      </c>
      <c r="F995" s="60" t="s">
        <v>166</v>
      </c>
      <c r="G995" s="66"/>
      <c r="H995" s="66"/>
      <c r="I995" s="66"/>
      <c r="J995" s="66"/>
      <c r="K995" s="66"/>
      <c r="L995" s="66"/>
      <c r="M995" s="66"/>
      <c r="N995" s="66"/>
      <c r="O995" s="66"/>
      <c r="P995" s="68">
        <v>10000</v>
      </c>
      <c r="Q995" s="66"/>
      <c r="R995" s="66"/>
      <c r="S995" s="214"/>
      <c r="T995" s="219">
        <f t="shared" si="31"/>
        <v>10000</v>
      </c>
    </row>
    <row r="996" spans="1:20" ht="22.5">
      <c r="A996" s="17" t="s">
        <v>453</v>
      </c>
      <c r="B996" s="73">
        <v>1</v>
      </c>
      <c r="C996" s="67"/>
      <c r="D996" s="212">
        <v>12</v>
      </c>
      <c r="E996" s="218">
        <f t="shared" si="30"/>
        <v>180000</v>
      </c>
      <c r="F996" s="60" t="s">
        <v>166</v>
      </c>
      <c r="G996" s="66"/>
      <c r="H996" s="66"/>
      <c r="I996" s="66"/>
      <c r="J996" s="66"/>
      <c r="K996" s="66"/>
      <c r="L996" s="66"/>
      <c r="M996" s="66"/>
      <c r="N996" s="66"/>
      <c r="O996" s="66"/>
      <c r="P996" s="68">
        <v>15000</v>
      </c>
      <c r="Q996" s="66"/>
      <c r="R996" s="66"/>
      <c r="S996" s="214"/>
      <c r="T996" s="219">
        <f t="shared" si="31"/>
        <v>15000</v>
      </c>
    </row>
    <row r="997" spans="1:20" ht="22.5">
      <c r="A997" s="17" t="s">
        <v>453</v>
      </c>
      <c r="B997" s="73">
        <v>1</v>
      </c>
      <c r="C997" s="67"/>
      <c r="D997" s="212">
        <v>12</v>
      </c>
      <c r="E997" s="218">
        <f t="shared" si="30"/>
        <v>180000</v>
      </c>
      <c r="F997" s="60" t="s">
        <v>166</v>
      </c>
      <c r="G997" s="66"/>
      <c r="H997" s="66"/>
      <c r="I997" s="66"/>
      <c r="J997" s="66"/>
      <c r="K997" s="66"/>
      <c r="L997" s="66"/>
      <c r="M997" s="66"/>
      <c r="N997" s="66"/>
      <c r="O997" s="66"/>
      <c r="P997" s="68">
        <v>15000</v>
      </c>
      <c r="Q997" s="66"/>
      <c r="R997" s="66"/>
      <c r="S997" s="214"/>
      <c r="T997" s="219">
        <f t="shared" si="31"/>
        <v>15000</v>
      </c>
    </row>
    <row r="998" spans="1:20" ht="22.5">
      <c r="A998" s="17" t="s">
        <v>453</v>
      </c>
      <c r="B998" s="73">
        <v>1</v>
      </c>
      <c r="C998" s="67"/>
      <c r="D998" s="212">
        <v>12</v>
      </c>
      <c r="E998" s="218">
        <f t="shared" si="30"/>
        <v>180000</v>
      </c>
      <c r="F998" s="60" t="s">
        <v>166</v>
      </c>
      <c r="G998" s="66"/>
      <c r="H998" s="66"/>
      <c r="I998" s="66"/>
      <c r="J998" s="66"/>
      <c r="K998" s="66"/>
      <c r="L998" s="66"/>
      <c r="M998" s="66"/>
      <c r="N998" s="66"/>
      <c r="O998" s="66"/>
      <c r="P998" s="68">
        <v>15000</v>
      </c>
      <c r="Q998" s="66"/>
      <c r="R998" s="66"/>
      <c r="S998" s="214"/>
      <c r="T998" s="219">
        <f t="shared" si="31"/>
        <v>15000</v>
      </c>
    </row>
    <row r="999" spans="1:20" ht="22.5">
      <c r="A999" s="17" t="s">
        <v>452</v>
      </c>
      <c r="B999" s="73">
        <v>1</v>
      </c>
      <c r="C999" s="67"/>
      <c r="D999" s="212">
        <v>12</v>
      </c>
      <c r="E999" s="218">
        <f t="shared" si="30"/>
        <v>156000</v>
      </c>
      <c r="F999" s="60" t="s">
        <v>166</v>
      </c>
      <c r="G999" s="66"/>
      <c r="H999" s="66"/>
      <c r="I999" s="66"/>
      <c r="J999" s="66"/>
      <c r="K999" s="66"/>
      <c r="L999" s="66"/>
      <c r="M999" s="66"/>
      <c r="N999" s="66"/>
      <c r="O999" s="66"/>
      <c r="P999" s="68">
        <v>13000</v>
      </c>
      <c r="Q999" s="66"/>
      <c r="R999" s="66"/>
      <c r="S999" s="214"/>
      <c r="T999" s="219">
        <f t="shared" si="31"/>
        <v>13000</v>
      </c>
    </row>
    <row r="1000" spans="1:20" ht="34.5" thickBot="1">
      <c r="A1000" s="20" t="s">
        <v>461</v>
      </c>
      <c r="B1000" s="75">
        <v>1</v>
      </c>
      <c r="C1000" s="69"/>
      <c r="D1000" s="229">
        <v>12</v>
      </c>
      <c r="E1000" s="230">
        <f t="shared" si="30"/>
        <v>180000</v>
      </c>
      <c r="F1000" s="231" t="s">
        <v>166</v>
      </c>
      <c r="G1000" s="232"/>
      <c r="H1000" s="70"/>
      <c r="I1000" s="70"/>
      <c r="J1000" s="70"/>
      <c r="K1000" s="70"/>
      <c r="L1000" s="70"/>
      <c r="M1000" s="70"/>
      <c r="N1000" s="70"/>
      <c r="O1000" s="70"/>
      <c r="P1000" s="71">
        <v>15000</v>
      </c>
      <c r="Q1000" s="70"/>
      <c r="R1000" s="70"/>
      <c r="S1000" s="215"/>
      <c r="T1000" s="219">
        <f t="shared" si="31"/>
        <v>15000</v>
      </c>
    </row>
    <row r="1001" spans="1:20" s="226" customFormat="1" ht="15" customHeight="1" thickBot="1">
      <c r="A1001" s="233"/>
      <c r="B1001" s="234">
        <v>1211</v>
      </c>
      <c r="C1001" s="866"/>
      <c r="D1001" s="867"/>
      <c r="E1001" s="867"/>
      <c r="F1001" s="868"/>
      <c r="G1001" s="77">
        <f>SUM(G7:G1000)*12</f>
        <v>2887056</v>
      </c>
      <c r="H1001" s="76">
        <f t="shared" ref="H1001:S1001" si="32">SUM(H7:H1000)*12</f>
        <v>396</v>
      </c>
      <c r="I1001" s="77">
        <f t="shared" si="32"/>
        <v>112740</v>
      </c>
      <c r="J1001" s="76">
        <f t="shared" si="32"/>
        <v>4500</v>
      </c>
      <c r="K1001" s="77">
        <f t="shared" si="32"/>
        <v>7554000</v>
      </c>
      <c r="L1001" s="76">
        <f t="shared" si="32"/>
        <v>916800</v>
      </c>
      <c r="M1001" s="77">
        <f t="shared" si="32"/>
        <v>1887600</v>
      </c>
      <c r="N1001" s="76">
        <f t="shared" si="32"/>
        <v>27000</v>
      </c>
      <c r="O1001" s="76">
        <f t="shared" si="32"/>
        <v>977160</v>
      </c>
      <c r="P1001" s="77">
        <f t="shared" si="32"/>
        <v>74147700</v>
      </c>
      <c r="Q1001" s="76">
        <f t="shared" si="32"/>
        <v>257828.40000000002</v>
      </c>
      <c r="R1001" s="77">
        <f t="shared" si="32"/>
        <v>30780</v>
      </c>
      <c r="S1001" s="76">
        <f t="shared" si="32"/>
        <v>2188200</v>
      </c>
      <c r="T1001" s="220">
        <f t="shared" si="31"/>
        <v>90991760.400000006</v>
      </c>
    </row>
    <row r="1002" spans="1:20" s="22" customFormat="1" ht="13.5" thickBot="1">
      <c r="A1002" s="863" t="s">
        <v>85</v>
      </c>
      <c r="B1002" s="864"/>
      <c r="C1002" s="864"/>
      <c r="D1002" s="864"/>
      <c r="E1002" s="864"/>
      <c r="F1002" s="864"/>
      <c r="G1002" s="864"/>
      <c r="H1002" s="864"/>
      <c r="I1002" s="864"/>
      <c r="J1002" s="864"/>
      <c r="K1002" s="864"/>
      <c r="L1002" s="864"/>
      <c r="M1002" s="864"/>
      <c r="N1002" s="864"/>
      <c r="O1002" s="864"/>
      <c r="P1002" s="864"/>
      <c r="Q1002" s="864"/>
      <c r="R1002" s="865"/>
      <c r="S1002" s="570">
        <f>G1001+H1001+I1001+J1001+K1001+L1001+M1001+N1001+O1001+P1001+Q1001+R1001+S1001</f>
        <v>90991760.400000006</v>
      </c>
      <c r="T1002" s="235"/>
    </row>
    <row r="1003" spans="1:20">
      <c r="A1003" s="221"/>
      <c r="B1003" s="222"/>
      <c r="C1003" s="223"/>
      <c r="D1003" s="224"/>
      <c r="E1003" s="223"/>
      <c r="F1003" s="222"/>
      <c r="G1003" s="222"/>
      <c r="H1003" s="222"/>
      <c r="I1003" s="222"/>
      <c r="J1003" s="222"/>
      <c r="K1003" s="222"/>
      <c r="L1003" s="222"/>
      <c r="M1003" s="222"/>
      <c r="N1003" s="222"/>
      <c r="O1003" s="222"/>
      <c r="P1003" s="225"/>
      <c r="Q1003" s="222"/>
      <c r="R1003" s="222"/>
      <c r="S1003" s="222"/>
    </row>
    <row r="1004" spans="1:20">
      <c r="A1004" s="12"/>
    </row>
  </sheetData>
  <mergeCells count="13">
    <mergeCell ref="A2:I2"/>
    <mergeCell ref="A3:I3"/>
    <mergeCell ref="A4:I4"/>
    <mergeCell ref="E5:E6"/>
    <mergeCell ref="F5:F6"/>
    <mergeCell ref="G5:S5"/>
    <mergeCell ref="T5:T6"/>
    <mergeCell ref="A1002:R1002"/>
    <mergeCell ref="C1001:F1001"/>
    <mergeCell ref="A5:A6"/>
    <mergeCell ref="B5:B6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17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1"/>
  <sheetViews>
    <sheetView view="pageBreakPreview" topLeftCell="O1" zoomScale="96" zoomScaleNormal="100" zoomScaleSheetLayoutView="96" workbookViewId="0">
      <selection activeCell="R28" sqref="R28"/>
    </sheetView>
  </sheetViews>
  <sheetFormatPr baseColWidth="10" defaultColWidth="20.140625" defaultRowHeight="12.75"/>
  <cols>
    <col min="1" max="1" width="50.140625" style="424" customWidth="1"/>
    <col min="2" max="2" width="14" style="450" bestFit="1" customWidth="1"/>
    <col min="3" max="3" width="20.140625" style="424"/>
    <col min="4" max="4" width="57" style="424" customWidth="1"/>
    <col min="5" max="8" width="20.140625" style="424"/>
    <col min="9" max="9" width="21.28515625" style="424" customWidth="1"/>
    <col min="10" max="10" width="20.140625" style="424"/>
    <col min="11" max="11" width="21" style="424" customWidth="1"/>
    <col min="12" max="15" width="20.140625" style="424"/>
    <col min="16" max="16" width="21" style="424" customWidth="1"/>
    <col min="17" max="17" width="20.140625" style="424"/>
    <col min="18" max="18" width="24" style="424" customWidth="1"/>
    <col min="19" max="19" width="24.28515625" style="424" customWidth="1"/>
    <col min="20" max="20" width="22.140625" style="424" customWidth="1"/>
    <col min="21" max="16384" width="20.140625" style="424"/>
  </cols>
  <sheetData>
    <row r="1" spans="1:22">
      <c r="A1" s="888" t="s">
        <v>25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  <c r="T1" s="890"/>
      <c r="U1" s="350"/>
      <c r="V1" s="350"/>
    </row>
    <row r="2" spans="1:22">
      <c r="A2" s="891" t="s">
        <v>26</v>
      </c>
      <c r="B2" s="891"/>
      <c r="C2" s="891"/>
      <c r="D2" s="891"/>
      <c r="E2" s="891"/>
      <c r="F2" s="891"/>
      <c r="G2" s="891"/>
      <c r="H2" s="891"/>
      <c r="I2" s="891"/>
      <c r="J2" s="891"/>
      <c r="K2" s="891"/>
      <c r="L2" s="891"/>
      <c r="M2" s="891"/>
      <c r="N2" s="891"/>
      <c r="O2" s="891"/>
      <c r="P2" s="891"/>
      <c r="Q2" s="891"/>
      <c r="R2" s="891"/>
      <c r="S2" s="891"/>
      <c r="T2" s="891"/>
      <c r="U2" s="356"/>
      <c r="V2" s="356"/>
    </row>
    <row r="3" spans="1:22" ht="12.75" customHeight="1">
      <c r="A3" s="891" t="s">
        <v>972</v>
      </c>
      <c r="B3" s="891"/>
      <c r="C3" s="891"/>
      <c r="D3" s="891"/>
      <c r="E3" s="891"/>
      <c r="F3" s="891"/>
      <c r="G3" s="891"/>
      <c r="H3" s="891"/>
      <c r="I3" s="891"/>
      <c r="J3" s="891"/>
      <c r="K3" s="891"/>
      <c r="L3" s="891"/>
      <c r="M3" s="891"/>
      <c r="N3" s="891"/>
      <c r="O3" s="891"/>
      <c r="P3" s="891"/>
      <c r="Q3" s="891"/>
      <c r="R3" s="891"/>
      <c r="S3" s="891"/>
      <c r="T3" s="891"/>
      <c r="U3" s="356"/>
      <c r="V3" s="356"/>
    </row>
    <row r="4" spans="1:22" ht="12.75" customHeight="1">
      <c r="A4" s="891" t="s">
        <v>1032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356"/>
      <c r="V4" s="356"/>
    </row>
    <row r="5" spans="1:22">
      <c r="A5" s="891" t="s">
        <v>973</v>
      </c>
      <c r="B5" s="891"/>
      <c r="C5" s="891"/>
      <c r="D5" s="891"/>
      <c r="E5" s="891"/>
      <c r="F5" s="891"/>
      <c r="G5" s="891"/>
      <c r="H5" s="891"/>
      <c r="I5" s="891"/>
      <c r="J5" s="891"/>
      <c r="K5" s="891"/>
      <c r="L5" s="891"/>
      <c r="M5" s="891"/>
      <c r="N5" s="891"/>
      <c r="O5" s="891"/>
      <c r="P5" s="891"/>
      <c r="Q5" s="891"/>
      <c r="R5" s="891"/>
      <c r="S5" s="891"/>
      <c r="T5" s="891"/>
      <c r="U5" s="356"/>
      <c r="V5" s="356"/>
    </row>
    <row r="6" spans="1:22" ht="13.5" thickBot="1">
      <c r="A6" s="684"/>
      <c r="B6" s="697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4"/>
      <c r="O6" s="684"/>
      <c r="P6" s="684"/>
      <c r="Q6" s="425"/>
      <c r="R6" s="684"/>
      <c r="S6" s="684"/>
      <c r="T6" s="684"/>
      <c r="U6" s="356"/>
      <c r="V6" s="356"/>
    </row>
    <row r="7" spans="1:22" s="426" customFormat="1" ht="12.75" customHeight="1">
      <c r="A7" s="880" t="s">
        <v>462</v>
      </c>
      <c r="B7" s="882" t="s">
        <v>36</v>
      </c>
      <c r="C7" s="884" t="s">
        <v>37</v>
      </c>
      <c r="D7" s="884" t="s">
        <v>38</v>
      </c>
      <c r="E7" s="882" t="s">
        <v>165</v>
      </c>
      <c r="F7" s="887"/>
      <c r="G7" s="887"/>
      <c r="H7" s="887"/>
      <c r="I7" s="887"/>
      <c r="J7" s="887"/>
      <c r="K7" s="887"/>
      <c r="L7" s="887"/>
      <c r="M7" s="887"/>
      <c r="N7" s="887"/>
      <c r="O7" s="887"/>
      <c r="P7" s="887"/>
      <c r="Q7" s="887"/>
      <c r="R7" s="887"/>
      <c r="S7" s="887"/>
      <c r="T7" s="887"/>
      <c r="U7" s="683"/>
      <c r="V7" s="694"/>
    </row>
    <row r="8" spans="1:22" s="426" customFormat="1" ht="13.5" thickBot="1">
      <c r="A8" s="881"/>
      <c r="B8" s="883"/>
      <c r="C8" s="885"/>
      <c r="D8" s="886"/>
      <c r="E8" s="695">
        <v>11</v>
      </c>
      <c r="F8" s="695">
        <v>12</v>
      </c>
      <c r="G8" s="695">
        <v>13</v>
      </c>
      <c r="H8" s="695">
        <v>14</v>
      </c>
      <c r="I8" s="695">
        <v>15</v>
      </c>
      <c r="J8" s="695">
        <v>21</v>
      </c>
      <c r="K8" s="695">
        <v>22</v>
      </c>
      <c r="L8" s="695">
        <v>26</v>
      </c>
      <c r="M8" s="695">
        <v>27</v>
      </c>
      <c r="N8" s="695">
        <v>29</v>
      </c>
      <c r="O8" s="695">
        <v>31</v>
      </c>
      <c r="P8" s="695">
        <v>32</v>
      </c>
      <c r="Q8" s="695">
        <v>33</v>
      </c>
      <c r="R8" s="695">
        <v>71</v>
      </c>
      <c r="S8" s="695">
        <v>72</v>
      </c>
      <c r="T8" s="695">
        <v>73</v>
      </c>
      <c r="U8" s="695">
        <v>75</v>
      </c>
      <c r="V8" s="696">
        <v>133</v>
      </c>
    </row>
    <row r="9" spans="1:22" s="434" customFormat="1">
      <c r="A9" s="687" t="s">
        <v>985</v>
      </c>
      <c r="B9" s="698">
        <v>1</v>
      </c>
      <c r="C9" s="688">
        <v>6759</v>
      </c>
      <c r="D9" s="689" t="s">
        <v>974</v>
      </c>
      <c r="E9" s="690">
        <v>81108</v>
      </c>
      <c r="F9" s="690">
        <v>3600</v>
      </c>
      <c r="G9" s="690">
        <v>0</v>
      </c>
      <c r="H9" s="691">
        <v>4500</v>
      </c>
      <c r="I9" s="690">
        <v>18600</v>
      </c>
      <c r="J9" s="692"/>
      <c r="K9" s="692"/>
      <c r="L9" s="692"/>
      <c r="M9" s="692"/>
      <c r="N9" s="692"/>
      <c r="O9" s="692"/>
      <c r="P9" s="692"/>
      <c r="Q9" s="692"/>
      <c r="R9" s="690">
        <v>8734</v>
      </c>
      <c r="S9" s="690">
        <v>8734</v>
      </c>
      <c r="T9" s="690">
        <v>200</v>
      </c>
      <c r="U9" s="693"/>
      <c r="V9" s="689"/>
    </row>
    <row r="10" spans="1:22" s="434" customFormat="1">
      <c r="A10" s="427" t="s">
        <v>178</v>
      </c>
      <c r="B10" s="699">
        <v>1</v>
      </c>
      <c r="C10" s="429">
        <v>2281</v>
      </c>
      <c r="D10" s="430" t="s">
        <v>974</v>
      </c>
      <c r="E10" s="431">
        <v>27372</v>
      </c>
      <c r="F10" s="431">
        <v>3600</v>
      </c>
      <c r="G10" s="431">
        <v>900</v>
      </c>
      <c r="H10" s="432">
        <v>0</v>
      </c>
      <c r="I10" s="431">
        <v>24600</v>
      </c>
      <c r="J10" s="433"/>
      <c r="K10" s="433"/>
      <c r="L10" s="433"/>
      <c r="M10" s="433"/>
      <c r="N10" s="433"/>
      <c r="O10" s="433"/>
      <c r="P10" s="433"/>
      <c r="Q10" s="433"/>
      <c r="R10" s="431">
        <v>4456</v>
      </c>
      <c r="S10" s="431">
        <v>4456</v>
      </c>
      <c r="T10" s="431">
        <v>200</v>
      </c>
      <c r="U10" s="430"/>
      <c r="V10" s="430"/>
    </row>
    <row r="11" spans="1:22" s="434" customFormat="1">
      <c r="A11" s="427" t="s">
        <v>178</v>
      </c>
      <c r="B11" s="699">
        <v>1</v>
      </c>
      <c r="C11" s="429">
        <v>2281</v>
      </c>
      <c r="D11" s="430" t="s">
        <v>974</v>
      </c>
      <c r="E11" s="431">
        <v>27372</v>
      </c>
      <c r="F11" s="431">
        <v>3600</v>
      </c>
      <c r="G11" s="431">
        <v>600</v>
      </c>
      <c r="H11" s="432">
        <v>0</v>
      </c>
      <c r="I11" s="431">
        <v>24600</v>
      </c>
      <c r="J11" s="433"/>
      <c r="K11" s="435"/>
      <c r="L11" s="433"/>
      <c r="M11" s="433"/>
      <c r="N11" s="433"/>
      <c r="O11" s="433"/>
      <c r="P11" s="433"/>
      <c r="Q11" s="433"/>
      <c r="R11" s="431">
        <v>4431</v>
      </c>
      <c r="S11" s="431">
        <v>4431</v>
      </c>
      <c r="T11" s="431">
        <v>200</v>
      </c>
      <c r="U11" s="430"/>
      <c r="V11" s="430"/>
    </row>
    <row r="12" spans="1:22" s="434" customFormat="1">
      <c r="A12" s="427" t="s">
        <v>179</v>
      </c>
      <c r="B12" s="699">
        <v>1</v>
      </c>
      <c r="C12" s="429">
        <v>2441</v>
      </c>
      <c r="D12" s="430" t="s">
        <v>974</v>
      </c>
      <c r="E12" s="431">
        <v>29292</v>
      </c>
      <c r="F12" s="431">
        <v>3600</v>
      </c>
      <c r="G12" s="431">
        <v>600</v>
      </c>
      <c r="H12" s="432">
        <v>0</v>
      </c>
      <c r="I12" s="431">
        <v>24600</v>
      </c>
      <c r="J12" s="433"/>
      <c r="K12" s="433"/>
      <c r="L12" s="433"/>
      <c r="M12" s="433"/>
      <c r="N12" s="433"/>
      <c r="O12" s="433"/>
      <c r="P12" s="433"/>
      <c r="Q12" s="433"/>
      <c r="R12" s="431">
        <v>4591</v>
      </c>
      <c r="S12" s="431">
        <v>4591</v>
      </c>
      <c r="T12" s="431">
        <v>200</v>
      </c>
      <c r="U12" s="430"/>
      <c r="V12" s="430"/>
    </row>
    <row r="13" spans="1:22" s="434" customFormat="1">
      <c r="A13" s="427" t="s">
        <v>986</v>
      </c>
      <c r="B13" s="699">
        <v>1</v>
      </c>
      <c r="C13" s="429">
        <v>10949</v>
      </c>
      <c r="D13" s="430" t="s">
        <v>974</v>
      </c>
      <c r="E13" s="431">
        <v>131388</v>
      </c>
      <c r="F13" s="431">
        <v>3600</v>
      </c>
      <c r="G13" s="431">
        <v>0</v>
      </c>
      <c r="H13" s="432">
        <v>4500</v>
      </c>
      <c r="I13" s="431">
        <v>18600</v>
      </c>
      <c r="J13" s="433"/>
      <c r="K13" s="433"/>
      <c r="L13" s="433"/>
      <c r="M13" s="433"/>
      <c r="N13" s="433"/>
      <c r="O13" s="433"/>
      <c r="P13" s="433"/>
      <c r="Q13" s="433"/>
      <c r="R13" s="431">
        <v>12924</v>
      </c>
      <c r="S13" s="431">
        <v>12924</v>
      </c>
      <c r="T13" s="431">
        <v>200</v>
      </c>
      <c r="U13" s="430"/>
      <c r="V13" s="430"/>
    </row>
    <row r="14" spans="1:22" s="434" customFormat="1">
      <c r="A14" s="427" t="s">
        <v>181</v>
      </c>
      <c r="B14" s="699">
        <v>1</v>
      </c>
      <c r="C14" s="429">
        <v>1991</v>
      </c>
      <c r="D14" s="430" t="s">
        <v>974</v>
      </c>
      <c r="E14" s="431">
        <v>23892</v>
      </c>
      <c r="F14" s="431">
        <v>3600</v>
      </c>
      <c r="G14" s="431">
        <v>600</v>
      </c>
      <c r="H14" s="432">
        <v>0</v>
      </c>
      <c r="I14" s="431">
        <v>22200</v>
      </c>
      <c r="J14" s="433"/>
      <c r="K14" s="433"/>
      <c r="L14" s="433"/>
      <c r="M14" s="433"/>
      <c r="N14" s="433"/>
      <c r="O14" s="433"/>
      <c r="P14" s="433"/>
      <c r="Q14" s="433"/>
      <c r="R14" s="431">
        <v>3941</v>
      </c>
      <c r="S14" s="431">
        <v>3941</v>
      </c>
      <c r="T14" s="431">
        <v>200</v>
      </c>
      <c r="U14" s="430"/>
      <c r="V14" s="430"/>
    </row>
    <row r="15" spans="1:22" s="434" customFormat="1">
      <c r="A15" s="427" t="s">
        <v>987</v>
      </c>
      <c r="B15" s="699">
        <v>1</v>
      </c>
      <c r="C15" s="429">
        <v>3987</v>
      </c>
      <c r="D15" s="430" t="s">
        <v>974</v>
      </c>
      <c r="E15" s="431">
        <v>47844</v>
      </c>
      <c r="F15" s="431">
        <v>0</v>
      </c>
      <c r="G15" s="431">
        <v>0</v>
      </c>
      <c r="H15" s="432">
        <v>4500</v>
      </c>
      <c r="I15" s="431">
        <v>27000</v>
      </c>
      <c r="J15" s="433"/>
      <c r="K15" s="433"/>
      <c r="L15" s="433"/>
      <c r="M15" s="433"/>
      <c r="N15" s="433"/>
      <c r="O15" s="433"/>
      <c r="P15" s="433"/>
      <c r="Q15" s="433"/>
      <c r="R15" s="431">
        <v>6362</v>
      </c>
      <c r="S15" s="431">
        <v>6362</v>
      </c>
      <c r="T15" s="431">
        <v>200</v>
      </c>
      <c r="U15" s="430"/>
      <c r="V15" s="430"/>
    </row>
    <row r="16" spans="1:22" s="434" customFormat="1">
      <c r="A16" s="427" t="s">
        <v>988</v>
      </c>
      <c r="B16" s="699">
        <v>1</v>
      </c>
      <c r="C16" s="429">
        <v>3295</v>
      </c>
      <c r="D16" s="430" t="s">
        <v>974</v>
      </c>
      <c r="E16" s="431">
        <v>39540</v>
      </c>
      <c r="F16" s="431">
        <v>0</v>
      </c>
      <c r="G16" s="431">
        <v>0</v>
      </c>
      <c r="H16" s="432">
        <v>4500</v>
      </c>
      <c r="I16" s="431">
        <v>17400</v>
      </c>
      <c r="J16" s="433"/>
      <c r="K16" s="433"/>
      <c r="L16" s="433"/>
      <c r="M16" s="433"/>
      <c r="N16" s="433"/>
      <c r="O16" s="433"/>
      <c r="P16" s="433"/>
      <c r="Q16" s="433"/>
      <c r="R16" s="431">
        <v>4870</v>
      </c>
      <c r="S16" s="431">
        <v>4870</v>
      </c>
      <c r="T16" s="431">
        <v>200</v>
      </c>
      <c r="U16" s="430"/>
      <c r="V16" s="430"/>
    </row>
    <row r="17" spans="1:22" s="434" customFormat="1">
      <c r="A17" s="427" t="s">
        <v>814</v>
      </c>
      <c r="B17" s="699">
        <v>1</v>
      </c>
      <c r="C17" s="429">
        <v>3757</v>
      </c>
      <c r="D17" s="430" t="s">
        <v>974</v>
      </c>
      <c r="E17" s="431">
        <v>45084</v>
      </c>
      <c r="F17" s="431">
        <v>6360</v>
      </c>
      <c r="G17" s="431">
        <v>0</v>
      </c>
      <c r="H17" s="432">
        <v>0</v>
      </c>
      <c r="I17" s="431">
        <v>27000</v>
      </c>
      <c r="J17" s="433"/>
      <c r="K17" s="433"/>
      <c r="L17" s="433"/>
      <c r="M17" s="433"/>
      <c r="N17" s="433"/>
      <c r="O17" s="433"/>
      <c r="P17" s="433"/>
      <c r="Q17" s="433"/>
      <c r="R17" s="431">
        <v>6287</v>
      </c>
      <c r="S17" s="431">
        <v>6287</v>
      </c>
      <c r="T17" s="431">
        <v>200</v>
      </c>
      <c r="U17" s="430"/>
      <c r="V17" s="430"/>
    </row>
    <row r="18" spans="1:22" s="434" customFormat="1">
      <c r="A18" s="427" t="s">
        <v>814</v>
      </c>
      <c r="B18" s="699">
        <v>1</v>
      </c>
      <c r="C18" s="429">
        <v>3757</v>
      </c>
      <c r="D18" s="430" t="s">
        <v>974</v>
      </c>
      <c r="E18" s="431">
        <v>45084</v>
      </c>
      <c r="F18" s="431">
        <v>0</v>
      </c>
      <c r="G18" s="431">
        <v>0</v>
      </c>
      <c r="H18" s="432">
        <v>4500</v>
      </c>
      <c r="I18" s="431">
        <v>17400</v>
      </c>
      <c r="J18" s="433"/>
      <c r="K18" s="433"/>
      <c r="L18" s="433"/>
      <c r="M18" s="433"/>
      <c r="N18" s="433"/>
      <c r="O18" s="433"/>
      <c r="P18" s="433"/>
      <c r="Q18" s="433"/>
      <c r="R18" s="431">
        <v>5332</v>
      </c>
      <c r="S18" s="431">
        <v>5332</v>
      </c>
      <c r="T18" s="431">
        <v>200</v>
      </c>
      <c r="U18" s="430"/>
      <c r="V18" s="430"/>
    </row>
    <row r="19" spans="1:22" s="434" customFormat="1">
      <c r="A19" s="427" t="s">
        <v>816</v>
      </c>
      <c r="B19" s="699">
        <v>1</v>
      </c>
      <c r="C19" s="429">
        <v>3987</v>
      </c>
      <c r="D19" s="430" t="s">
        <v>974</v>
      </c>
      <c r="E19" s="431">
        <v>47844</v>
      </c>
      <c r="F19" s="431">
        <v>0</v>
      </c>
      <c r="G19" s="431">
        <v>0</v>
      </c>
      <c r="H19" s="432">
        <v>4500</v>
      </c>
      <c r="I19" s="431">
        <v>17400</v>
      </c>
      <c r="J19" s="433"/>
      <c r="K19" s="433"/>
      <c r="L19" s="433"/>
      <c r="M19" s="433"/>
      <c r="N19" s="433"/>
      <c r="O19" s="433"/>
      <c r="P19" s="433"/>
      <c r="Q19" s="433"/>
      <c r="R19" s="431">
        <v>5562</v>
      </c>
      <c r="S19" s="431">
        <v>5562</v>
      </c>
      <c r="T19" s="431">
        <v>200</v>
      </c>
      <c r="U19" s="430"/>
      <c r="V19" s="430"/>
    </row>
    <row r="20" spans="1:22" s="434" customFormat="1">
      <c r="A20" s="427" t="s">
        <v>816</v>
      </c>
      <c r="B20" s="699">
        <v>1</v>
      </c>
      <c r="C20" s="429">
        <v>3987</v>
      </c>
      <c r="D20" s="430" t="s">
        <v>974</v>
      </c>
      <c r="E20" s="431">
        <v>47844</v>
      </c>
      <c r="F20" s="431">
        <v>0</v>
      </c>
      <c r="G20" s="431">
        <v>0</v>
      </c>
      <c r="H20" s="432">
        <v>4500</v>
      </c>
      <c r="I20" s="431">
        <v>27000</v>
      </c>
      <c r="J20" s="433"/>
      <c r="K20" s="433"/>
      <c r="L20" s="433"/>
      <c r="M20" s="433"/>
      <c r="N20" s="433"/>
      <c r="O20" s="433"/>
      <c r="P20" s="433"/>
      <c r="Q20" s="433"/>
      <c r="R20" s="431">
        <v>6362</v>
      </c>
      <c r="S20" s="431">
        <v>6362</v>
      </c>
      <c r="T20" s="431">
        <v>200</v>
      </c>
      <c r="U20" s="430"/>
      <c r="V20" s="430"/>
    </row>
    <row r="21" spans="1:22" s="434" customFormat="1">
      <c r="A21" s="427" t="s">
        <v>816</v>
      </c>
      <c r="B21" s="699">
        <v>1</v>
      </c>
      <c r="C21" s="429">
        <v>3987</v>
      </c>
      <c r="D21" s="430" t="s">
        <v>974</v>
      </c>
      <c r="E21" s="431">
        <v>47844</v>
      </c>
      <c r="F21" s="431">
        <v>0</v>
      </c>
      <c r="G21" s="431">
        <v>0</v>
      </c>
      <c r="H21" s="432">
        <v>4500</v>
      </c>
      <c r="I21" s="431">
        <v>17400</v>
      </c>
      <c r="J21" s="433"/>
      <c r="K21" s="433"/>
      <c r="L21" s="433"/>
      <c r="M21" s="433"/>
      <c r="N21" s="433"/>
      <c r="O21" s="433"/>
      <c r="P21" s="433"/>
      <c r="Q21" s="433"/>
      <c r="R21" s="431">
        <v>5562</v>
      </c>
      <c r="S21" s="431">
        <v>5562</v>
      </c>
      <c r="T21" s="431">
        <v>200</v>
      </c>
      <c r="U21" s="430"/>
      <c r="V21" s="430"/>
    </row>
    <row r="22" spans="1:22" s="434" customFormat="1">
      <c r="A22" s="427" t="s">
        <v>87</v>
      </c>
      <c r="B22" s="699">
        <v>1</v>
      </c>
      <c r="C22" s="429">
        <v>1460</v>
      </c>
      <c r="D22" s="430" t="s">
        <v>974</v>
      </c>
      <c r="E22" s="431">
        <v>17520</v>
      </c>
      <c r="F22" s="431">
        <v>3600</v>
      </c>
      <c r="G22" s="431">
        <v>600</v>
      </c>
      <c r="H22" s="432">
        <v>0</v>
      </c>
      <c r="I22" s="431">
        <v>17400</v>
      </c>
      <c r="J22" s="433"/>
      <c r="K22" s="433"/>
      <c r="L22" s="433"/>
      <c r="M22" s="433"/>
      <c r="N22" s="433"/>
      <c r="O22" s="433"/>
      <c r="P22" s="433"/>
      <c r="Q22" s="433"/>
      <c r="R22" s="431">
        <v>3010</v>
      </c>
      <c r="S22" s="431">
        <v>3010</v>
      </c>
      <c r="T22" s="431">
        <v>200</v>
      </c>
      <c r="U22" s="430"/>
      <c r="V22" s="430"/>
    </row>
    <row r="23" spans="1:22" s="434" customFormat="1">
      <c r="A23" s="427" t="s">
        <v>87</v>
      </c>
      <c r="B23" s="699">
        <v>1</v>
      </c>
      <c r="C23" s="429">
        <v>1460</v>
      </c>
      <c r="D23" s="430" t="s">
        <v>974</v>
      </c>
      <c r="E23" s="431">
        <v>17520</v>
      </c>
      <c r="F23" s="431">
        <v>3600</v>
      </c>
      <c r="G23" s="431">
        <v>600</v>
      </c>
      <c r="H23" s="432">
        <v>0</v>
      </c>
      <c r="I23" s="431">
        <v>17400</v>
      </c>
      <c r="J23" s="433"/>
      <c r="K23" s="433"/>
      <c r="L23" s="433"/>
      <c r="M23" s="433"/>
      <c r="N23" s="433"/>
      <c r="O23" s="433"/>
      <c r="P23" s="433"/>
      <c r="Q23" s="433"/>
      <c r="R23" s="431">
        <v>3010</v>
      </c>
      <c r="S23" s="431">
        <v>3010</v>
      </c>
      <c r="T23" s="431">
        <v>200</v>
      </c>
      <c r="U23" s="430"/>
      <c r="V23" s="430"/>
    </row>
    <row r="24" spans="1:22" s="434" customFormat="1">
      <c r="A24" s="427" t="s">
        <v>1033</v>
      </c>
      <c r="B24" s="699">
        <v>1</v>
      </c>
      <c r="C24" s="429">
        <v>8996</v>
      </c>
      <c r="D24" s="430" t="s">
        <v>974</v>
      </c>
      <c r="E24" s="431">
        <v>107952</v>
      </c>
      <c r="F24" s="431">
        <v>3600</v>
      </c>
      <c r="G24" s="431">
        <v>0</v>
      </c>
      <c r="H24" s="432">
        <v>4500</v>
      </c>
      <c r="I24" s="431">
        <v>18600</v>
      </c>
      <c r="J24" s="433"/>
      <c r="K24" s="433"/>
      <c r="L24" s="433"/>
      <c r="M24" s="433"/>
      <c r="N24" s="433"/>
      <c r="O24" s="433"/>
      <c r="P24" s="433"/>
      <c r="Q24" s="433"/>
      <c r="R24" s="431">
        <v>10971</v>
      </c>
      <c r="S24" s="431">
        <v>10971</v>
      </c>
      <c r="T24" s="431">
        <v>200</v>
      </c>
      <c r="U24" s="430"/>
      <c r="V24" s="430"/>
    </row>
    <row r="25" spans="1:22" s="434" customFormat="1">
      <c r="A25" s="427" t="s">
        <v>39</v>
      </c>
      <c r="B25" s="699">
        <v>1</v>
      </c>
      <c r="C25" s="429">
        <v>1460</v>
      </c>
      <c r="D25" s="430" t="s">
        <v>974</v>
      </c>
      <c r="E25" s="431">
        <v>17520</v>
      </c>
      <c r="F25" s="431">
        <v>3600</v>
      </c>
      <c r="G25" s="431">
        <v>600</v>
      </c>
      <c r="H25" s="432">
        <v>0</v>
      </c>
      <c r="I25" s="431">
        <v>19800</v>
      </c>
      <c r="J25" s="433"/>
      <c r="K25" s="433"/>
      <c r="L25" s="433"/>
      <c r="M25" s="433"/>
      <c r="N25" s="433"/>
      <c r="O25" s="433"/>
      <c r="P25" s="433"/>
      <c r="Q25" s="433"/>
      <c r="R25" s="431">
        <v>3210</v>
      </c>
      <c r="S25" s="431">
        <v>3210</v>
      </c>
      <c r="T25" s="431">
        <v>200</v>
      </c>
      <c r="U25" s="430"/>
      <c r="V25" s="430"/>
    </row>
    <row r="26" spans="1:22" s="434" customFormat="1">
      <c r="A26" s="427" t="s">
        <v>989</v>
      </c>
      <c r="B26" s="699">
        <v>1</v>
      </c>
      <c r="C26" s="429">
        <v>1831</v>
      </c>
      <c r="D26" s="430" t="s">
        <v>974</v>
      </c>
      <c r="E26" s="431">
        <v>21972</v>
      </c>
      <c r="F26" s="431">
        <v>3600</v>
      </c>
      <c r="G26" s="431">
        <v>900</v>
      </c>
      <c r="H26" s="432">
        <v>0</v>
      </c>
      <c r="I26" s="431">
        <v>22200</v>
      </c>
      <c r="J26" s="433"/>
      <c r="K26" s="433"/>
      <c r="L26" s="433"/>
      <c r="M26" s="433"/>
      <c r="N26" s="433"/>
      <c r="O26" s="433"/>
      <c r="P26" s="433"/>
      <c r="Q26" s="433"/>
      <c r="R26" s="431">
        <v>3806</v>
      </c>
      <c r="S26" s="431">
        <v>3806</v>
      </c>
      <c r="T26" s="431">
        <v>200</v>
      </c>
      <c r="U26" s="430"/>
      <c r="V26" s="430"/>
    </row>
    <row r="27" spans="1:22" s="434" customFormat="1">
      <c r="A27" s="427" t="s">
        <v>989</v>
      </c>
      <c r="B27" s="699">
        <v>1</v>
      </c>
      <c r="C27" s="429">
        <v>1831</v>
      </c>
      <c r="D27" s="430" t="s">
        <v>974</v>
      </c>
      <c r="E27" s="431">
        <v>21972</v>
      </c>
      <c r="F27" s="431">
        <v>3600</v>
      </c>
      <c r="G27" s="431">
        <v>900</v>
      </c>
      <c r="H27" s="432">
        <v>0</v>
      </c>
      <c r="I27" s="431">
        <v>22200</v>
      </c>
      <c r="J27" s="433"/>
      <c r="K27" s="433"/>
      <c r="L27" s="433"/>
      <c r="M27" s="433"/>
      <c r="N27" s="433"/>
      <c r="O27" s="433"/>
      <c r="P27" s="433"/>
      <c r="Q27" s="433"/>
      <c r="R27" s="431">
        <v>3806</v>
      </c>
      <c r="S27" s="431">
        <v>3806</v>
      </c>
      <c r="T27" s="431">
        <v>200</v>
      </c>
      <c r="U27" s="430"/>
      <c r="V27" s="430"/>
    </row>
    <row r="28" spans="1:22" s="434" customFormat="1">
      <c r="A28" s="427" t="s">
        <v>990</v>
      </c>
      <c r="B28" s="699">
        <v>1</v>
      </c>
      <c r="C28" s="429">
        <v>1324</v>
      </c>
      <c r="D28" s="430" t="s">
        <v>974</v>
      </c>
      <c r="E28" s="431">
        <v>15888</v>
      </c>
      <c r="F28" s="431">
        <v>3600</v>
      </c>
      <c r="G28" s="431">
        <v>600</v>
      </c>
      <c r="H28" s="432">
        <v>0</v>
      </c>
      <c r="I28" s="431">
        <v>16200</v>
      </c>
      <c r="J28" s="433"/>
      <c r="K28" s="433"/>
      <c r="L28" s="433"/>
      <c r="M28" s="433"/>
      <c r="N28" s="433"/>
      <c r="O28" s="433"/>
      <c r="P28" s="433"/>
      <c r="Q28" s="433"/>
      <c r="R28" s="431">
        <v>2774</v>
      </c>
      <c r="S28" s="431">
        <v>2774</v>
      </c>
      <c r="T28" s="431">
        <v>200</v>
      </c>
      <c r="U28" s="430"/>
      <c r="V28" s="430"/>
    </row>
    <row r="29" spans="1:22" s="436" customFormat="1">
      <c r="A29" s="427" t="s">
        <v>990</v>
      </c>
      <c r="B29" s="699">
        <v>1</v>
      </c>
      <c r="C29" s="429">
        <v>1135</v>
      </c>
      <c r="D29" s="430" t="s">
        <v>974</v>
      </c>
      <c r="E29" s="431">
        <v>13620</v>
      </c>
      <c r="F29" s="431">
        <v>3600</v>
      </c>
      <c r="G29" s="431">
        <v>600</v>
      </c>
      <c r="H29" s="432">
        <v>0</v>
      </c>
      <c r="I29" s="431">
        <v>16200</v>
      </c>
      <c r="J29" s="433"/>
      <c r="K29" s="433"/>
      <c r="L29" s="433"/>
      <c r="M29" s="433"/>
      <c r="N29" s="433"/>
      <c r="O29" s="433"/>
      <c r="P29" s="433"/>
      <c r="Q29" s="433"/>
      <c r="R29" s="431">
        <v>2585</v>
      </c>
      <c r="S29" s="431">
        <v>2585</v>
      </c>
      <c r="T29" s="431">
        <v>200</v>
      </c>
      <c r="U29" s="430"/>
      <c r="V29" s="430"/>
    </row>
    <row r="30" spans="1:22" s="438" customFormat="1">
      <c r="A30" s="427" t="s">
        <v>991</v>
      </c>
      <c r="B30" s="699">
        <v>1</v>
      </c>
      <c r="C30" s="429">
        <v>2152</v>
      </c>
      <c r="D30" s="430" t="s">
        <v>975</v>
      </c>
      <c r="E30" s="431"/>
      <c r="F30" s="431"/>
      <c r="G30" s="431"/>
      <c r="H30" s="432"/>
      <c r="I30" s="431"/>
      <c r="J30" s="431">
        <v>25824</v>
      </c>
      <c r="K30" s="433"/>
      <c r="L30" s="433"/>
      <c r="M30" s="437">
        <v>30600</v>
      </c>
      <c r="N30" s="433"/>
      <c r="O30" s="433"/>
      <c r="P30" s="433"/>
      <c r="Q30" s="433"/>
      <c r="R30" s="431">
        <v>4452</v>
      </c>
      <c r="S30" s="431">
        <v>4452</v>
      </c>
      <c r="T30" s="431">
        <v>200</v>
      </c>
      <c r="U30" s="430"/>
      <c r="V30" s="430"/>
    </row>
    <row r="31" spans="1:22" s="434" customFormat="1">
      <c r="A31" s="427" t="s">
        <v>992</v>
      </c>
      <c r="B31" s="699">
        <v>1</v>
      </c>
      <c r="C31" s="439">
        <v>25000</v>
      </c>
      <c r="D31" s="428" t="s">
        <v>976</v>
      </c>
      <c r="E31" s="433"/>
      <c r="F31" s="433"/>
      <c r="G31" s="433"/>
      <c r="H31" s="432"/>
      <c r="I31" s="433"/>
      <c r="J31" s="433"/>
      <c r="K31" s="432">
        <v>300000</v>
      </c>
      <c r="L31" s="432">
        <v>4500</v>
      </c>
      <c r="M31" s="432">
        <v>6600</v>
      </c>
      <c r="N31" s="433"/>
      <c r="O31" s="433"/>
      <c r="P31" s="433"/>
      <c r="Q31" s="433"/>
      <c r="R31" s="431">
        <v>25675</v>
      </c>
      <c r="S31" s="431">
        <v>25675</v>
      </c>
      <c r="T31" s="431">
        <v>200</v>
      </c>
      <c r="U31" s="430"/>
      <c r="V31" s="430"/>
    </row>
    <row r="32" spans="1:22" s="434" customFormat="1">
      <c r="A32" s="427" t="s">
        <v>993</v>
      </c>
      <c r="B32" s="699">
        <v>1</v>
      </c>
      <c r="C32" s="439">
        <v>15000</v>
      </c>
      <c r="D32" s="428" t="s">
        <v>976</v>
      </c>
      <c r="E32" s="433"/>
      <c r="F32" s="433"/>
      <c r="G32" s="433"/>
      <c r="H32" s="432"/>
      <c r="I32" s="433"/>
      <c r="J32" s="433"/>
      <c r="K32" s="432">
        <v>180000</v>
      </c>
      <c r="L32" s="432">
        <v>4500</v>
      </c>
      <c r="M32" s="432">
        <v>6600</v>
      </c>
      <c r="N32" s="433"/>
      <c r="O32" s="433"/>
      <c r="P32" s="433"/>
      <c r="Q32" s="433"/>
      <c r="R32" s="432">
        <v>15675</v>
      </c>
      <c r="S32" s="432">
        <v>15675</v>
      </c>
      <c r="T32" s="432">
        <v>200</v>
      </c>
      <c r="U32" s="430"/>
      <c r="V32" s="430"/>
    </row>
    <row r="33" spans="1:22" s="434" customFormat="1">
      <c r="A33" s="427" t="s">
        <v>994</v>
      </c>
      <c r="B33" s="699">
        <v>1</v>
      </c>
      <c r="C33" s="439">
        <v>9750</v>
      </c>
      <c r="D33" s="428" t="s">
        <v>976</v>
      </c>
      <c r="E33" s="433"/>
      <c r="F33" s="433"/>
      <c r="G33" s="433"/>
      <c r="H33" s="432"/>
      <c r="I33" s="433"/>
      <c r="J33" s="433"/>
      <c r="K33" s="432">
        <v>117000</v>
      </c>
      <c r="L33" s="432">
        <v>4500</v>
      </c>
      <c r="M33" s="432">
        <v>6600</v>
      </c>
      <c r="N33" s="433"/>
      <c r="O33" s="433"/>
      <c r="P33" s="433"/>
      <c r="Q33" s="433"/>
      <c r="R33" s="432">
        <v>10425</v>
      </c>
      <c r="S33" s="432">
        <v>10425</v>
      </c>
      <c r="T33" s="432">
        <v>200</v>
      </c>
      <c r="U33" s="430"/>
      <c r="V33" s="430"/>
    </row>
    <row r="34" spans="1:22" s="436" customFormat="1">
      <c r="A34" s="427" t="s">
        <v>994</v>
      </c>
      <c r="B34" s="700">
        <v>1</v>
      </c>
      <c r="C34" s="439">
        <v>9250</v>
      </c>
      <c r="D34" s="428" t="s">
        <v>976</v>
      </c>
      <c r="E34" s="433"/>
      <c r="F34" s="433"/>
      <c r="G34" s="433"/>
      <c r="H34" s="432"/>
      <c r="I34" s="433"/>
      <c r="J34" s="433"/>
      <c r="K34" s="432">
        <v>111000</v>
      </c>
      <c r="L34" s="432">
        <v>4500</v>
      </c>
      <c r="M34" s="432">
        <v>6600</v>
      </c>
      <c r="N34" s="433"/>
      <c r="O34" s="433"/>
      <c r="P34" s="433"/>
      <c r="Q34" s="433"/>
      <c r="R34" s="432">
        <v>9925</v>
      </c>
      <c r="S34" s="432">
        <v>9925</v>
      </c>
      <c r="T34" s="432">
        <v>200</v>
      </c>
      <c r="U34" s="430"/>
      <c r="V34" s="430"/>
    </row>
    <row r="35" spans="1:22" s="434" customFormat="1" ht="25.5">
      <c r="A35" s="441" t="s">
        <v>995</v>
      </c>
      <c r="B35" s="700">
        <v>1</v>
      </c>
      <c r="C35" s="439">
        <v>7000</v>
      </c>
      <c r="D35" s="428" t="s">
        <v>977</v>
      </c>
      <c r="E35" s="432"/>
      <c r="F35" s="433"/>
      <c r="G35" s="433"/>
      <c r="H35" s="433"/>
      <c r="I35" s="432"/>
      <c r="J35" s="433"/>
      <c r="K35" s="433"/>
      <c r="L35" s="433"/>
      <c r="M35" s="433"/>
      <c r="N35" s="432">
        <v>84000</v>
      </c>
      <c r="O35" s="433"/>
      <c r="P35" s="433"/>
      <c r="Q35" s="433"/>
      <c r="R35" s="432"/>
      <c r="S35" s="432"/>
      <c r="T35" s="432"/>
      <c r="U35" s="430"/>
      <c r="V35" s="430"/>
    </row>
    <row r="36" spans="1:22" s="434" customFormat="1" ht="25.5">
      <c r="A36" s="441" t="s">
        <v>1034</v>
      </c>
      <c r="B36" s="700">
        <v>1</v>
      </c>
      <c r="C36" s="439">
        <v>4000</v>
      </c>
      <c r="D36" s="428" t="s">
        <v>977</v>
      </c>
      <c r="E36" s="428"/>
      <c r="F36" s="433"/>
      <c r="G36" s="433"/>
      <c r="H36" s="433"/>
      <c r="I36" s="433"/>
      <c r="J36" s="433"/>
      <c r="K36" s="433"/>
      <c r="L36" s="433"/>
      <c r="M36" s="433"/>
      <c r="N36" s="432">
        <v>48000</v>
      </c>
      <c r="O36" s="433"/>
      <c r="P36" s="433"/>
      <c r="Q36" s="433"/>
      <c r="R36" s="433"/>
      <c r="S36" s="433"/>
      <c r="T36" s="432"/>
      <c r="U36" s="430"/>
      <c r="V36" s="430"/>
    </row>
    <row r="37" spans="1:22" s="434" customFormat="1">
      <c r="A37" s="441" t="s">
        <v>1035</v>
      </c>
      <c r="B37" s="700">
        <v>1</v>
      </c>
      <c r="C37" s="439">
        <v>5000</v>
      </c>
      <c r="D37" s="428" t="s">
        <v>977</v>
      </c>
      <c r="E37" s="428"/>
      <c r="F37" s="433"/>
      <c r="G37" s="433"/>
      <c r="H37" s="433"/>
      <c r="I37" s="433"/>
      <c r="J37" s="433"/>
      <c r="K37" s="433"/>
      <c r="L37" s="433"/>
      <c r="M37" s="433"/>
      <c r="N37" s="432">
        <v>60000</v>
      </c>
      <c r="O37" s="433"/>
      <c r="P37" s="433"/>
      <c r="Q37" s="433"/>
      <c r="R37" s="433"/>
      <c r="S37" s="433"/>
      <c r="T37" s="432"/>
      <c r="U37" s="430"/>
      <c r="V37" s="430"/>
    </row>
    <row r="38" spans="1:22" s="434" customFormat="1" ht="25.5">
      <c r="A38" s="441" t="s">
        <v>1036</v>
      </c>
      <c r="B38" s="700">
        <v>1</v>
      </c>
      <c r="C38" s="439">
        <v>6000</v>
      </c>
      <c r="D38" s="428" t="s">
        <v>977</v>
      </c>
      <c r="E38" s="428"/>
      <c r="F38" s="433"/>
      <c r="G38" s="433"/>
      <c r="H38" s="433"/>
      <c r="I38" s="433"/>
      <c r="J38" s="433"/>
      <c r="K38" s="433"/>
      <c r="L38" s="433"/>
      <c r="M38" s="433"/>
      <c r="N38" s="432">
        <v>72000</v>
      </c>
      <c r="O38" s="433"/>
      <c r="P38" s="433"/>
      <c r="Q38" s="433"/>
      <c r="R38" s="433"/>
      <c r="S38" s="433"/>
      <c r="T38" s="432"/>
      <c r="U38" s="430"/>
      <c r="V38" s="430"/>
    </row>
    <row r="39" spans="1:22" s="434" customFormat="1">
      <c r="A39" s="441" t="s">
        <v>1037</v>
      </c>
      <c r="B39" s="700">
        <v>1</v>
      </c>
      <c r="C39" s="439">
        <v>6000</v>
      </c>
      <c r="D39" s="428" t="s">
        <v>977</v>
      </c>
      <c r="E39" s="428"/>
      <c r="F39" s="433"/>
      <c r="G39" s="433"/>
      <c r="H39" s="433"/>
      <c r="I39" s="433"/>
      <c r="J39" s="433"/>
      <c r="K39" s="433"/>
      <c r="L39" s="433"/>
      <c r="M39" s="433"/>
      <c r="N39" s="432">
        <v>72000</v>
      </c>
      <c r="O39" s="433"/>
      <c r="P39" s="433"/>
      <c r="Q39" s="433"/>
      <c r="R39" s="433"/>
      <c r="S39" s="433"/>
      <c r="T39" s="433"/>
      <c r="U39" s="430"/>
      <c r="V39" s="430"/>
    </row>
    <row r="40" spans="1:22" s="434" customFormat="1">
      <c r="A40" s="441" t="s">
        <v>996</v>
      </c>
      <c r="B40" s="700">
        <v>1</v>
      </c>
      <c r="C40" s="439">
        <v>8000</v>
      </c>
      <c r="D40" s="428" t="s">
        <v>977</v>
      </c>
      <c r="E40" s="428"/>
      <c r="F40" s="428"/>
      <c r="G40" s="433"/>
      <c r="H40" s="433"/>
      <c r="I40" s="433"/>
      <c r="J40" s="433"/>
      <c r="K40" s="433"/>
      <c r="L40" s="433"/>
      <c r="M40" s="433"/>
      <c r="N40" s="432">
        <v>96000</v>
      </c>
      <c r="O40" s="433"/>
      <c r="P40" s="433"/>
      <c r="Q40" s="433"/>
      <c r="R40" s="433"/>
      <c r="S40" s="433"/>
      <c r="T40" s="433"/>
      <c r="U40" s="430"/>
      <c r="V40" s="430"/>
    </row>
    <row r="41" spans="1:22" s="434" customFormat="1">
      <c r="A41" s="441" t="s">
        <v>1038</v>
      </c>
      <c r="B41" s="700">
        <v>1</v>
      </c>
      <c r="C41" s="439">
        <v>7000</v>
      </c>
      <c r="D41" s="428" t="s">
        <v>977</v>
      </c>
      <c r="E41" s="428"/>
      <c r="F41" s="428"/>
      <c r="G41" s="433"/>
      <c r="H41" s="433"/>
      <c r="I41" s="433"/>
      <c r="J41" s="433"/>
      <c r="K41" s="433"/>
      <c r="L41" s="433"/>
      <c r="M41" s="433"/>
      <c r="N41" s="432">
        <v>84000</v>
      </c>
      <c r="O41" s="433"/>
      <c r="P41" s="433"/>
      <c r="Q41" s="433"/>
      <c r="R41" s="433"/>
      <c r="S41" s="433"/>
      <c r="T41" s="433"/>
      <c r="U41" s="430"/>
      <c r="V41" s="430"/>
    </row>
    <row r="42" spans="1:22" ht="13.5" customHeight="1">
      <c r="A42" s="427" t="s">
        <v>997</v>
      </c>
      <c r="B42" s="700">
        <v>15</v>
      </c>
      <c r="C42" s="439">
        <v>75.64</v>
      </c>
      <c r="D42" s="428" t="s">
        <v>978</v>
      </c>
      <c r="E42" s="428"/>
      <c r="F42" s="428"/>
      <c r="G42" s="432"/>
      <c r="H42" s="432"/>
      <c r="I42" s="432"/>
      <c r="J42" s="432"/>
      <c r="K42" s="432"/>
      <c r="L42" s="432"/>
      <c r="M42" s="432"/>
      <c r="N42" s="432"/>
      <c r="O42" s="432">
        <v>415266.00000000012</v>
      </c>
      <c r="P42" s="432">
        <v>153000</v>
      </c>
      <c r="Q42" s="432">
        <v>3420</v>
      </c>
      <c r="R42" s="432">
        <v>43890.5</v>
      </c>
      <c r="S42" s="432">
        <v>43890.5</v>
      </c>
      <c r="T42" s="432">
        <v>3000</v>
      </c>
      <c r="U42" s="428"/>
      <c r="V42" s="440"/>
    </row>
    <row r="43" spans="1:22" ht="13.5" customHeight="1">
      <c r="A43" s="427" t="s">
        <v>998</v>
      </c>
      <c r="B43" s="699">
        <v>4</v>
      </c>
      <c r="C43" s="439">
        <v>75.64</v>
      </c>
      <c r="D43" s="428" t="s">
        <v>978</v>
      </c>
      <c r="E43" s="428"/>
      <c r="F43" s="428"/>
      <c r="G43" s="432"/>
      <c r="H43" s="432"/>
      <c r="I43" s="432"/>
      <c r="J43" s="432"/>
      <c r="K43" s="432"/>
      <c r="L43" s="432"/>
      <c r="M43" s="432"/>
      <c r="N43" s="432"/>
      <c r="O43" s="432">
        <v>110737</v>
      </c>
      <c r="P43" s="432">
        <v>40800</v>
      </c>
      <c r="Q43" s="432">
        <v>1620</v>
      </c>
      <c r="R43" s="432">
        <v>11763.083333333334</v>
      </c>
      <c r="S43" s="432">
        <v>11763.083333333334</v>
      </c>
      <c r="T43" s="432">
        <v>800</v>
      </c>
      <c r="U43" s="428"/>
      <c r="V43" s="440"/>
    </row>
    <row r="44" spans="1:22" ht="13.5" customHeight="1">
      <c r="A44" s="427" t="s">
        <v>999</v>
      </c>
      <c r="B44" s="699">
        <v>6</v>
      </c>
      <c r="C44" s="439">
        <v>73.59</v>
      </c>
      <c r="D44" s="428" t="s">
        <v>978</v>
      </c>
      <c r="E44" s="428"/>
      <c r="F44" s="428"/>
      <c r="G44" s="432"/>
      <c r="H44" s="432"/>
      <c r="I44" s="432"/>
      <c r="J44" s="432"/>
      <c r="K44" s="432"/>
      <c r="L44" s="432"/>
      <c r="M44" s="432"/>
      <c r="N44" s="432"/>
      <c r="O44" s="432">
        <v>161604</v>
      </c>
      <c r="P44" s="432">
        <v>61200</v>
      </c>
      <c r="Q44" s="432">
        <v>0</v>
      </c>
      <c r="R44" s="432">
        <v>17067</v>
      </c>
      <c r="S44" s="432">
        <v>17067</v>
      </c>
      <c r="T44" s="432">
        <v>1200</v>
      </c>
      <c r="U44" s="428"/>
      <c r="V44" s="440"/>
    </row>
    <row r="45" spans="1:22" ht="13.5" customHeight="1">
      <c r="A45" s="427" t="s">
        <v>1000</v>
      </c>
      <c r="B45" s="699">
        <v>1</v>
      </c>
      <c r="C45" s="439">
        <v>73.59</v>
      </c>
      <c r="D45" s="428" t="s">
        <v>978</v>
      </c>
      <c r="E45" s="428"/>
      <c r="F45" s="428"/>
      <c r="G45" s="432"/>
      <c r="H45" s="432"/>
      <c r="I45" s="432"/>
      <c r="J45" s="432"/>
      <c r="K45" s="432"/>
      <c r="L45" s="432"/>
      <c r="M45" s="432"/>
      <c r="N45" s="432"/>
      <c r="O45" s="432">
        <v>26941</v>
      </c>
      <c r="P45" s="432">
        <v>10200</v>
      </c>
      <c r="Q45" s="432">
        <v>600</v>
      </c>
      <c r="R45" s="432">
        <v>2889</v>
      </c>
      <c r="S45" s="432">
        <v>2889</v>
      </c>
      <c r="T45" s="432">
        <v>200</v>
      </c>
      <c r="U45" s="428"/>
      <c r="V45" s="428"/>
    </row>
    <row r="46" spans="1:22">
      <c r="A46" s="441" t="s">
        <v>1001</v>
      </c>
      <c r="B46" s="699">
        <v>1</v>
      </c>
      <c r="C46" s="429">
        <v>6759</v>
      </c>
      <c r="D46" s="430" t="s">
        <v>974</v>
      </c>
      <c r="E46" s="431">
        <v>64476</v>
      </c>
      <c r="F46" s="431">
        <v>6360</v>
      </c>
      <c r="G46" s="431">
        <v>0</v>
      </c>
      <c r="H46" s="431"/>
      <c r="I46" s="431">
        <v>29400</v>
      </c>
      <c r="J46" s="433"/>
      <c r="K46" s="433"/>
      <c r="L46" s="433"/>
      <c r="M46" s="433"/>
      <c r="N46" s="433"/>
      <c r="O46" s="433"/>
      <c r="P46" s="433"/>
      <c r="Q46" s="433"/>
      <c r="R46" s="431">
        <v>8103</v>
      </c>
      <c r="S46" s="431">
        <v>8103</v>
      </c>
      <c r="T46" s="431">
        <v>200</v>
      </c>
      <c r="U46" s="432"/>
      <c r="V46" s="442"/>
    </row>
    <row r="47" spans="1:22">
      <c r="A47" s="441" t="s">
        <v>1002</v>
      </c>
      <c r="B47" s="699">
        <v>1</v>
      </c>
      <c r="C47" s="429">
        <v>2281</v>
      </c>
      <c r="D47" s="430" t="s">
        <v>974</v>
      </c>
      <c r="E47" s="431">
        <v>42300</v>
      </c>
      <c r="F47" s="431">
        <v>3600</v>
      </c>
      <c r="G47" s="431">
        <v>0</v>
      </c>
      <c r="H47" s="431"/>
      <c r="I47" s="431">
        <v>27000</v>
      </c>
      <c r="J47" s="433"/>
      <c r="K47" s="433"/>
      <c r="L47" s="433"/>
      <c r="M47" s="433"/>
      <c r="N47" s="433"/>
      <c r="O47" s="433"/>
      <c r="P47" s="433"/>
      <c r="Q47" s="433"/>
      <c r="R47" s="431">
        <v>5825</v>
      </c>
      <c r="S47" s="431">
        <v>5825</v>
      </c>
      <c r="T47" s="431">
        <v>200</v>
      </c>
      <c r="U47" s="432"/>
      <c r="V47" s="442"/>
    </row>
    <row r="48" spans="1:22">
      <c r="A48" s="441" t="s">
        <v>1002</v>
      </c>
      <c r="B48" s="699">
        <v>1</v>
      </c>
      <c r="C48" s="429">
        <v>2281</v>
      </c>
      <c r="D48" s="430" t="s">
        <v>974</v>
      </c>
      <c r="E48" s="431">
        <v>42300</v>
      </c>
      <c r="F48" s="431">
        <v>3600</v>
      </c>
      <c r="G48" s="431">
        <v>0</v>
      </c>
      <c r="H48" s="431"/>
      <c r="I48" s="431">
        <v>27000</v>
      </c>
      <c r="J48" s="433"/>
      <c r="K48" s="435"/>
      <c r="L48" s="433"/>
      <c r="M48" s="433"/>
      <c r="N48" s="433"/>
      <c r="O48" s="433"/>
      <c r="P48" s="433"/>
      <c r="Q48" s="433"/>
      <c r="R48" s="431">
        <v>5825</v>
      </c>
      <c r="S48" s="431">
        <v>5825</v>
      </c>
      <c r="T48" s="431">
        <v>200</v>
      </c>
      <c r="U48" s="432"/>
      <c r="V48" s="442"/>
    </row>
    <row r="49" spans="1:22">
      <c r="A49" s="427" t="s">
        <v>1002</v>
      </c>
      <c r="B49" s="699">
        <v>1</v>
      </c>
      <c r="C49" s="429">
        <v>2441</v>
      </c>
      <c r="D49" s="430" t="s">
        <v>974</v>
      </c>
      <c r="E49" s="431">
        <v>42300</v>
      </c>
      <c r="F49" s="431">
        <v>3600</v>
      </c>
      <c r="G49" s="431">
        <v>0</v>
      </c>
      <c r="H49" s="431"/>
      <c r="I49" s="431">
        <v>27000</v>
      </c>
      <c r="J49" s="433"/>
      <c r="K49" s="433"/>
      <c r="L49" s="433"/>
      <c r="M49" s="433"/>
      <c r="N49" s="433"/>
      <c r="O49" s="433"/>
      <c r="P49" s="433"/>
      <c r="Q49" s="433"/>
      <c r="R49" s="431">
        <v>5825</v>
      </c>
      <c r="S49" s="431">
        <v>5825</v>
      </c>
      <c r="T49" s="431">
        <v>200</v>
      </c>
      <c r="U49" s="432"/>
      <c r="V49" s="442"/>
    </row>
    <row r="50" spans="1:22">
      <c r="A50" s="427" t="s">
        <v>179</v>
      </c>
      <c r="B50" s="699">
        <v>1</v>
      </c>
      <c r="C50" s="429">
        <v>10949</v>
      </c>
      <c r="D50" s="430" t="s">
        <v>974</v>
      </c>
      <c r="E50" s="431">
        <v>29292</v>
      </c>
      <c r="F50" s="431">
        <v>3600</v>
      </c>
      <c r="G50" s="431">
        <v>600</v>
      </c>
      <c r="H50" s="431"/>
      <c r="I50" s="431">
        <v>24600</v>
      </c>
      <c r="J50" s="433"/>
      <c r="K50" s="433"/>
      <c r="L50" s="433"/>
      <c r="M50" s="433"/>
      <c r="N50" s="433"/>
      <c r="O50" s="433"/>
      <c r="P50" s="433"/>
      <c r="Q50" s="433"/>
      <c r="R50" s="431">
        <v>4591</v>
      </c>
      <c r="S50" s="431">
        <v>4591</v>
      </c>
      <c r="T50" s="431">
        <v>200</v>
      </c>
      <c r="U50" s="432"/>
      <c r="V50" s="442"/>
    </row>
    <row r="51" spans="1:22">
      <c r="A51" s="427" t="s">
        <v>179</v>
      </c>
      <c r="B51" s="699">
        <v>1</v>
      </c>
      <c r="C51" s="429">
        <v>1991</v>
      </c>
      <c r="D51" s="430" t="s">
        <v>974</v>
      </c>
      <c r="E51" s="431">
        <v>29292</v>
      </c>
      <c r="F51" s="431">
        <v>3600</v>
      </c>
      <c r="G51" s="431">
        <v>900</v>
      </c>
      <c r="H51" s="431"/>
      <c r="I51" s="431">
        <v>24600</v>
      </c>
      <c r="J51" s="433"/>
      <c r="K51" s="433"/>
      <c r="L51" s="433"/>
      <c r="M51" s="433"/>
      <c r="N51" s="433"/>
      <c r="O51" s="433"/>
      <c r="P51" s="433"/>
      <c r="Q51" s="433"/>
      <c r="R51" s="431">
        <v>4616</v>
      </c>
      <c r="S51" s="431">
        <v>4616</v>
      </c>
      <c r="T51" s="431">
        <v>200</v>
      </c>
      <c r="U51" s="432"/>
      <c r="V51" s="442"/>
    </row>
    <row r="52" spans="1:22">
      <c r="A52" s="427" t="s">
        <v>1002</v>
      </c>
      <c r="B52" s="699">
        <v>1</v>
      </c>
      <c r="C52" s="429">
        <v>3987</v>
      </c>
      <c r="D52" s="430" t="s">
        <v>974</v>
      </c>
      <c r="E52" s="431">
        <v>42300</v>
      </c>
      <c r="F52" s="431">
        <v>3600</v>
      </c>
      <c r="G52" s="431">
        <v>0</v>
      </c>
      <c r="H52" s="431"/>
      <c r="I52" s="431">
        <v>27000</v>
      </c>
      <c r="J52" s="433"/>
      <c r="K52" s="433"/>
      <c r="L52" s="433"/>
      <c r="M52" s="433"/>
      <c r="N52" s="433"/>
      <c r="O52" s="433"/>
      <c r="P52" s="433"/>
      <c r="Q52" s="433"/>
      <c r="R52" s="431">
        <v>5825</v>
      </c>
      <c r="S52" s="431">
        <v>5825</v>
      </c>
      <c r="T52" s="431">
        <v>200</v>
      </c>
      <c r="U52" s="432"/>
      <c r="V52" s="442"/>
    </row>
    <row r="53" spans="1:22">
      <c r="A53" s="427" t="s">
        <v>179</v>
      </c>
      <c r="B53" s="699">
        <v>1</v>
      </c>
      <c r="C53" s="429">
        <v>3295</v>
      </c>
      <c r="D53" s="430" t="s">
        <v>974</v>
      </c>
      <c r="E53" s="431">
        <v>29292</v>
      </c>
      <c r="F53" s="431">
        <v>3600</v>
      </c>
      <c r="G53" s="431">
        <v>600</v>
      </c>
      <c r="H53" s="431"/>
      <c r="I53" s="431">
        <v>24600</v>
      </c>
      <c r="J53" s="433"/>
      <c r="K53" s="433"/>
      <c r="L53" s="433"/>
      <c r="M53" s="433"/>
      <c r="N53" s="433"/>
      <c r="O53" s="433"/>
      <c r="P53" s="433"/>
      <c r="Q53" s="433"/>
      <c r="R53" s="431">
        <v>4591</v>
      </c>
      <c r="S53" s="431">
        <v>4591</v>
      </c>
      <c r="T53" s="431">
        <v>200</v>
      </c>
      <c r="U53" s="432"/>
      <c r="V53" s="442"/>
    </row>
    <row r="54" spans="1:22" ht="18" customHeight="1">
      <c r="A54" s="427" t="s">
        <v>1002</v>
      </c>
      <c r="B54" s="699">
        <v>1</v>
      </c>
      <c r="C54" s="429">
        <v>3757</v>
      </c>
      <c r="D54" s="430" t="s">
        <v>974</v>
      </c>
      <c r="E54" s="431">
        <v>42300</v>
      </c>
      <c r="F54" s="431">
        <v>3600</v>
      </c>
      <c r="G54" s="431">
        <v>0</v>
      </c>
      <c r="H54" s="431"/>
      <c r="I54" s="431">
        <v>27000</v>
      </c>
      <c r="J54" s="433"/>
      <c r="K54" s="433"/>
      <c r="L54" s="433"/>
      <c r="M54" s="433"/>
      <c r="N54" s="433"/>
      <c r="O54" s="433"/>
      <c r="P54" s="433"/>
      <c r="Q54" s="433"/>
      <c r="R54" s="431">
        <v>5825</v>
      </c>
      <c r="S54" s="431">
        <v>5825</v>
      </c>
      <c r="T54" s="431">
        <v>200</v>
      </c>
      <c r="U54" s="443"/>
      <c r="V54" s="428"/>
    </row>
    <row r="55" spans="1:22">
      <c r="A55" s="427" t="s">
        <v>180</v>
      </c>
      <c r="B55" s="699">
        <v>1</v>
      </c>
      <c r="C55" s="429">
        <v>3757</v>
      </c>
      <c r="D55" s="430" t="s">
        <v>974</v>
      </c>
      <c r="E55" s="431">
        <v>31248</v>
      </c>
      <c r="F55" s="431">
        <v>3600</v>
      </c>
      <c r="G55" s="431">
        <v>600</v>
      </c>
      <c r="H55" s="431"/>
      <c r="I55" s="431">
        <v>24600</v>
      </c>
      <c r="J55" s="433"/>
      <c r="K55" s="433"/>
      <c r="L55" s="433"/>
      <c r="M55" s="433"/>
      <c r="N55" s="433"/>
      <c r="O55" s="433"/>
      <c r="P55" s="433"/>
      <c r="Q55" s="433"/>
      <c r="R55" s="431">
        <v>4754</v>
      </c>
      <c r="S55" s="431">
        <v>4754</v>
      </c>
      <c r="T55" s="431">
        <v>200</v>
      </c>
      <c r="U55" s="444"/>
      <c r="V55" s="428"/>
    </row>
    <row r="56" spans="1:22">
      <c r="A56" s="427" t="s">
        <v>40</v>
      </c>
      <c r="B56" s="699">
        <v>1</v>
      </c>
      <c r="C56" s="429">
        <v>3987</v>
      </c>
      <c r="D56" s="430" t="s">
        <v>974</v>
      </c>
      <c r="E56" s="431">
        <v>21972</v>
      </c>
      <c r="F56" s="431">
        <v>3600</v>
      </c>
      <c r="G56" s="431">
        <v>600</v>
      </c>
      <c r="H56" s="431"/>
      <c r="I56" s="431">
        <v>22200</v>
      </c>
      <c r="J56" s="433"/>
      <c r="K56" s="433"/>
      <c r="L56" s="433"/>
      <c r="M56" s="433"/>
      <c r="N56" s="433"/>
      <c r="O56" s="433"/>
      <c r="P56" s="433"/>
      <c r="Q56" s="433"/>
      <c r="R56" s="431">
        <v>3781</v>
      </c>
      <c r="S56" s="431">
        <v>3781</v>
      </c>
      <c r="T56" s="431">
        <v>200</v>
      </c>
      <c r="U56" s="442"/>
      <c r="V56" s="428"/>
    </row>
    <row r="57" spans="1:22">
      <c r="A57" s="427" t="s">
        <v>45</v>
      </c>
      <c r="B57" s="699">
        <v>1</v>
      </c>
      <c r="C57" s="429">
        <v>3987</v>
      </c>
      <c r="D57" s="430" t="s">
        <v>974</v>
      </c>
      <c r="E57" s="431">
        <v>18660</v>
      </c>
      <c r="F57" s="431">
        <v>3600</v>
      </c>
      <c r="G57" s="431">
        <v>600</v>
      </c>
      <c r="H57" s="431"/>
      <c r="I57" s="431">
        <v>19800</v>
      </c>
      <c r="J57" s="433"/>
      <c r="K57" s="433"/>
      <c r="L57" s="433"/>
      <c r="M57" s="433"/>
      <c r="N57" s="433"/>
      <c r="O57" s="433"/>
      <c r="P57" s="433"/>
      <c r="Q57" s="433"/>
      <c r="R57" s="431">
        <v>3305</v>
      </c>
      <c r="S57" s="431">
        <v>3305</v>
      </c>
      <c r="T57" s="431">
        <v>200</v>
      </c>
      <c r="U57" s="428"/>
      <c r="V57" s="428"/>
    </row>
    <row r="58" spans="1:22">
      <c r="A58" s="441" t="s">
        <v>179</v>
      </c>
      <c r="B58" s="699">
        <v>1</v>
      </c>
      <c r="C58" s="429">
        <v>2441</v>
      </c>
      <c r="D58" s="430" t="s">
        <v>974</v>
      </c>
      <c r="E58" s="431">
        <v>29292</v>
      </c>
      <c r="F58" s="431">
        <v>3600</v>
      </c>
      <c r="G58" s="431"/>
      <c r="H58" s="431"/>
      <c r="I58" s="445">
        <f>24600-F58</f>
        <v>21000</v>
      </c>
      <c r="J58" s="433"/>
      <c r="K58" s="433"/>
      <c r="L58" s="433"/>
      <c r="M58" s="433"/>
      <c r="N58" s="433"/>
      <c r="O58" s="433"/>
      <c r="P58" s="433"/>
      <c r="Q58" s="430"/>
      <c r="R58" s="431">
        <v>33783</v>
      </c>
      <c r="S58" s="431">
        <v>33783</v>
      </c>
      <c r="T58" s="431">
        <v>200</v>
      </c>
      <c r="U58" s="428"/>
      <c r="V58" s="428"/>
    </row>
    <row r="59" spans="1:22">
      <c r="A59" s="441" t="s">
        <v>816</v>
      </c>
      <c r="B59" s="699">
        <v>1</v>
      </c>
      <c r="C59" s="429">
        <v>3987</v>
      </c>
      <c r="D59" s="430" t="s">
        <v>974</v>
      </c>
      <c r="E59" s="431">
        <v>47844</v>
      </c>
      <c r="F59" s="431">
        <v>3600</v>
      </c>
      <c r="G59" s="431"/>
      <c r="H59" s="431"/>
      <c r="I59" s="445">
        <f>31500-F59</f>
        <v>27900</v>
      </c>
      <c r="J59" s="433"/>
      <c r="K59" s="433"/>
      <c r="L59" s="433"/>
      <c r="M59" s="433"/>
      <c r="N59" s="433"/>
      <c r="O59" s="433"/>
      <c r="P59" s="433"/>
      <c r="Q59" s="430"/>
      <c r="R59" s="431">
        <v>54456</v>
      </c>
      <c r="S59" s="431">
        <v>54456</v>
      </c>
      <c r="T59" s="431">
        <v>200</v>
      </c>
      <c r="U59" s="428"/>
      <c r="V59" s="428"/>
    </row>
    <row r="60" spans="1:22">
      <c r="A60" s="441" t="s">
        <v>179</v>
      </c>
      <c r="B60" s="699">
        <v>1</v>
      </c>
      <c r="C60" s="429">
        <v>2441</v>
      </c>
      <c r="D60" s="430" t="s">
        <v>974</v>
      </c>
      <c r="E60" s="431">
        <v>29292</v>
      </c>
      <c r="F60" s="431">
        <v>3600</v>
      </c>
      <c r="G60" s="431"/>
      <c r="H60" s="431"/>
      <c r="I60" s="445">
        <f>24600-F60</f>
        <v>21000</v>
      </c>
      <c r="J60" s="433"/>
      <c r="K60" s="433"/>
      <c r="L60" s="433"/>
      <c r="M60" s="433"/>
      <c r="N60" s="433"/>
      <c r="O60" s="433"/>
      <c r="P60" s="433"/>
      <c r="Q60" s="430"/>
      <c r="R60" s="431">
        <v>33783</v>
      </c>
      <c r="S60" s="431">
        <v>33783</v>
      </c>
      <c r="T60" s="431">
        <v>200</v>
      </c>
      <c r="U60" s="428"/>
      <c r="V60" s="428"/>
    </row>
    <row r="61" spans="1:22">
      <c r="A61" s="441" t="s">
        <v>179</v>
      </c>
      <c r="B61" s="699">
        <v>1</v>
      </c>
      <c r="C61" s="429">
        <v>2441</v>
      </c>
      <c r="D61" s="430" t="s">
        <v>974</v>
      </c>
      <c r="E61" s="431">
        <v>29292</v>
      </c>
      <c r="F61" s="431">
        <v>3600</v>
      </c>
      <c r="G61" s="431"/>
      <c r="H61" s="431"/>
      <c r="I61" s="445">
        <f>24600-F61</f>
        <v>21000</v>
      </c>
      <c r="J61" s="433"/>
      <c r="K61" s="433"/>
      <c r="L61" s="433"/>
      <c r="M61" s="433"/>
      <c r="N61" s="433"/>
      <c r="O61" s="433"/>
      <c r="P61" s="433"/>
      <c r="Q61" s="430"/>
      <c r="R61" s="431">
        <v>33783</v>
      </c>
      <c r="S61" s="431">
        <v>33783</v>
      </c>
      <c r="T61" s="431">
        <v>200</v>
      </c>
      <c r="U61" s="428"/>
      <c r="V61" s="428"/>
    </row>
    <row r="62" spans="1:22">
      <c r="A62" s="441" t="s">
        <v>179</v>
      </c>
      <c r="B62" s="699">
        <v>1</v>
      </c>
      <c r="C62" s="429">
        <v>2441</v>
      </c>
      <c r="D62" s="430" t="s">
        <v>974</v>
      </c>
      <c r="E62" s="431">
        <v>29292</v>
      </c>
      <c r="F62" s="431">
        <v>3600</v>
      </c>
      <c r="G62" s="431"/>
      <c r="H62" s="431"/>
      <c r="I62" s="445">
        <f>24600-F62</f>
        <v>21000</v>
      </c>
      <c r="J62" s="433"/>
      <c r="K62" s="433"/>
      <c r="L62" s="433"/>
      <c r="M62" s="433"/>
      <c r="N62" s="433"/>
      <c r="O62" s="433"/>
      <c r="P62" s="433"/>
      <c r="Q62" s="430"/>
      <c r="R62" s="431">
        <v>33783</v>
      </c>
      <c r="S62" s="431">
        <v>33783</v>
      </c>
      <c r="T62" s="431">
        <v>200</v>
      </c>
      <c r="U62" s="428"/>
      <c r="V62" s="428"/>
    </row>
    <row r="63" spans="1:22">
      <c r="A63" s="441" t="s">
        <v>179</v>
      </c>
      <c r="B63" s="699">
        <v>1</v>
      </c>
      <c r="C63" s="429">
        <v>2441</v>
      </c>
      <c r="D63" s="430" t="s">
        <v>974</v>
      </c>
      <c r="E63" s="431">
        <v>29292</v>
      </c>
      <c r="F63" s="431">
        <v>3600</v>
      </c>
      <c r="G63" s="431"/>
      <c r="H63" s="431"/>
      <c r="I63" s="445">
        <f>24600-F63</f>
        <v>21000</v>
      </c>
      <c r="J63" s="433"/>
      <c r="K63" s="433"/>
      <c r="L63" s="433"/>
      <c r="M63" s="433"/>
      <c r="N63" s="433"/>
      <c r="O63" s="433"/>
      <c r="P63" s="433"/>
      <c r="Q63" s="430"/>
      <c r="R63" s="431">
        <v>33783</v>
      </c>
      <c r="S63" s="431">
        <v>33783</v>
      </c>
      <c r="T63" s="431">
        <v>200</v>
      </c>
      <c r="U63" s="428"/>
      <c r="V63" s="428"/>
    </row>
    <row r="64" spans="1:22">
      <c r="A64" s="441" t="s">
        <v>816</v>
      </c>
      <c r="B64" s="699">
        <v>1</v>
      </c>
      <c r="C64" s="429">
        <v>3987</v>
      </c>
      <c r="D64" s="430" t="s">
        <v>974</v>
      </c>
      <c r="E64" s="431">
        <v>47844</v>
      </c>
      <c r="F64" s="431">
        <v>3600</v>
      </c>
      <c r="G64" s="431"/>
      <c r="H64" s="431"/>
      <c r="I64" s="445">
        <f>27000-F64</f>
        <v>23400</v>
      </c>
      <c r="J64" s="433"/>
      <c r="K64" s="433"/>
      <c r="L64" s="433"/>
      <c r="M64" s="433"/>
      <c r="N64" s="433"/>
      <c r="O64" s="433"/>
      <c r="P64" s="433"/>
      <c r="Q64" s="430"/>
      <c r="R64" s="431">
        <v>54081</v>
      </c>
      <c r="S64" s="431">
        <v>54081</v>
      </c>
      <c r="T64" s="431">
        <v>200</v>
      </c>
      <c r="U64" s="428"/>
      <c r="V64" s="428"/>
    </row>
    <row r="65" spans="1:22">
      <c r="A65" s="441" t="s">
        <v>40</v>
      </c>
      <c r="B65" s="699">
        <v>1</v>
      </c>
      <c r="C65" s="429">
        <v>1831</v>
      </c>
      <c r="D65" s="430" t="s">
        <v>974</v>
      </c>
      <c r="E65" s="431">
        <v>21972</v>
      </c>
      <c r="F65" s="431">
        <v>3600</v>
      </c>
      <c r="G65" s="431"/>
      <c r="H65" s="431"/>
      <c r="I65" s="445">
        <f>22200-F65</f>
        <v>18600</v>
      </c>
      <c r="J65" s="433"/>
      <c r="K65" s="433"/>
      <c r="L65" s="433"/>
      <c r="M65" s="433"/>
      <c r="N65" s="433"/>
      <c r="O65" s="433"/>
      <c r="P65" s="433"/>
      <c r="Q65" s="430"/>
      <c r="R65" s="431">
        <v>25653</v>
      </c>
      <c r="S65" s="431">
        <v>25653</v>
      </c>
      <c r="T65" s="431">
        <v>200</v>
      </c>
      <c r="U65" s="428"/>
      <c r="V65" s="428"/>
    </row>
    <row r="66" spans="1:22">
      <c r="A66" s="441" t="s">
        <v>179</v>
      </c>
      <c r="B66" s="699">
        <v>1</v>
      </c>
      <c r="C66" s="429">
        <v>2441</v>
      </c>
      <c r="D66" s="430" t="s">
        <v>974</v>
      </c>
      <c r="E66" s="431">
        <v>29292</v>
      </c>
      <c r="F66" s="431">
        <v>3600</v>
      </c>
      <c r="G66" s="431"/>
      <c r="H66" s="431"/>
      <c r="I66" s="445">
        <f>24600-F66</f>
        <v>21000</v>
      </c>
      <c r="J66" s="433"/>
      <c r="K66" s="433"/>
      <c r="L66" s="433"/>
      <c r="M66" s="433"/>
      <c r="N66" s="433"/>
      <c r="O66" s="433"/>
      <c r="P66" s="433"/>
      <c r="Q66" s="430"/>
      <c r="R66" s="431">
        <v>33783</v>
      </c>
      <c r="S66" s="431">
        <v>33783</v>
      </c>
      <c r="T66" s="431">
        <v>200</v>
      </c>
      <c r="U66" s="428"/>
      <c r="V66" s="428"/>
    </row>
    <row r="67" spans="1:22">
      <c r="A67" s="441" t="s">
        <v>179</v>
      </c>
      <c r="B67" s="699">
        <v>1</v>
      </c>
      <c r="C67" s="429">
        <v>2441</v>
      </c>
      <c r="D67" s="430" t="s">
        <v>974</v>
      </c>
      <c r="E67" s="431">
        <v>29292</v>
      </c>
      <c r="F67" s="431">
        <v>3600</v>
      </c>
      <c r="G67" s="431"/>
      <c r="H67" s="431"/>
      <c r="I67" s="445">
        <f>24600-F67</f>
        <v>21000</v>
      </c>
      <c r="J67" s="431"/>
      <c r="K67" s="433"/>
      <c r="L67" s="433"/>
      <c r="M67" s="437"/>
      <c r="N67" s="433"/>
      <c r="O67" s="433"/>
      <c r="P67" s="433"/>
      <c r="Q67" s="430"/>
      <c r="R67" s="431">
        <v>33783</v>
      </c>
      <c r="S67" s="431">
        <v>33783</v>
      </c>
      <c r="T67" s="431">
        <v>200</v>
      </c>
      <c r="U67" s="428"/>
      <c r="V67" s="428"/>
    </row>
    <row r="68" spans="1:22">
      <c r="A68" s="441" t="s">
        <v>179</v>
      </c>
      <c r="B68" s="699">
        <v>1</v>
      </c>
      <c r="C68" s="439">
        <v>2441</v>
      </c>
      <c r="D68" s="430" t="s">
        <v>974</v>
      </c>
      <c r="E68" s="431">
        <v>29292</v>
      </c>
      <c r="F68" s="431">
        <v>3600</v>
      </c>
      <c r="G68" s="433"/>
      <c r="H68" s="433"/>
      <c r="I68" s="445">
        <f>24600-F68</f>
        <v>21000</v>
      </c>
      <c r="J68" s="433"/>
      <c r="K68" s="432"/>
      <c r="L68" s="432"/>
      <c r="M68" s="432"/>
      <c r="N68" s="433"/>
      <c r="O68" s="433"/>
      <c r="P68" s="433"/>
      <c r="Q68" s="430"/>
      <c r="R68" s="431">
        <v>33783</v>
      </c>
      <c r="S68" s="431">
        <v>33783</v>
      </c>
      <c r="T68" s="431">
        <v>200</v>
      </c>
      <c r="U68" s="428"/>
      <c r="V68" s="428"/>
    </row>
    <row r="69" spans="1:22">
      <c r="A69" s="441" t="s">
        <v>40</v>
      </c>
      <c r="B69" s="699">
        <v>1</v>
      </c>
      <c r="C69" s="439">
        <v>1831</v>
      </c>
      <c r="D69" s="430" t="s">
        <v>974</v>
      </c>
      <c r="E69" s="431">
        <v>21972</v>
      </c>
      <c r="F69" s="431">
        <v>3600</v>
      </c>
      <c r="G69" s="433"/>
      <c r="H69" s="433"/>
      <c r="I69" s="445">
        <f>22200-F69</f>
        <v>18600</v>
      </c>
      <c r="J69" s="433"/>
      <c r="K69" s="432"/>
      <c r="L69" s="432"/>
      <c r="M69" s="432"/>
      <c r="N69" s="433"/>
      <c r="O69" s="433"/>
      <c r="P69" s="433"/>
      <c r="Q69" s="430"/>
      <c r="R69" s="432">
        <v>25653</v>
      </c>
      <c r="S69" s="432">
        <v>25653</v>
      </c>
      <c r="T69" s="432">
        <v>200</v>
      </c>
      <c r="U69" s="428"/>
      <c r="V69" s="428"/>
    </row>
    <row r="70" spans="1:22">
      <c r="A70" s="441" t="s">
        <v>1003</v>
      </c>
      <c r="B70" s="699">
        <v>1</v>
      </c>
      <c r="C70" s="439">
        <v>2441</v>
      </c>
      <c r="D70" s="430" t="s">
        <v>974</v>
      </c>
      <c r="E70" s="431">
        <v>29292</v>
      </c>
      <c r="F70" s="431">
        <v>3600</v>
      </c>
      <c r="G70" s="433"/>
      <c r="H70" s="433"/>
      <c r="I70" s="445">
        <f t="shared" ref="I70:I76" si="0">24600-F70</f>
        <v>21000</v>
      </c>
      <c r="J70" s="433"/>
      <c r="K70" s="432"/>
      <c r="L70" s="432"/>
      <c r="M70" s="432"/>
      <c r="N70" s="433"/>
      <c r="O70" s="433"/>
      <c r="P70" s="433"/>
      <c r="Q70" s="430"/>
      <c r="R70" s="432">
        <v>33783</v>
      </c>
      <c r="S70" s="432">
        <v>33783</v>
      </c>
      <c r="T70" s="432">
        <v>200</v>
      </c>
      <c r="U70" s="428"/>
      <c r="V70" s="428"/>
    </row>
    <row r="71" spans="1:22">
      <c r="A71" s="441" t="s">
        <v>1003</v>
      </c>
      <c r="B71" s="699">
        <v>1</v>
      </c>
      <c r="C71" s="439">
        <v>2441</v>
      </c>
      <c r="D71" s="430" t="s">
        <v>974</v>
      </c>
      <c r="E71" s="431">
        <v>29292</v>
      </c>
      <c r="F71" s="431">
        <v>3600</v>
      </c>
      <c r="G71" s="433"/>
      <c r="H71" s="433"/>
      <c r="I71" s="445">
        <f t="shared" si="0"/>
        <v>21000</v>
      </c>
      <c r="J71" s="433"/>
      <c r="K71" s="432"/>
      <c r="L71" s="432"/>
      <c r="M71" s="432"/>
      <c r="N71" s="433"/>
      <c r="O71" s="433"/>
      <c r="P71" s="433"/>
      <c r="Q71" s="430"/>
      <c r="R71" s="432">
        <v>33783</v>
      </c>
      <c r="S71" s="432">
        <v>33783</v>
      </c>
      <c r="T71" s="432">
        <v>200</v>
      </c>
      <c r="U71" s="428"/>
      <c r="V71" s="428"/>
    </row>
    <row r="72" spans="1:22">
      <c r="A72" s="441" t="s">
        <v>1004</v>
      </c>
      <c r="B72" s="699">
        <v>1</v>
      </c>
      <c r="C72" s="439">
        <v>2604</v>
      </c>
      <c r="D72" s="430" t="s">
        <v>974</v>
      </c>
      <c r="E72" s="431">
        <v>31248</v>
      </c>
      <c r="F72" s="431">
        <v>3600</v>
      </c>
      <c r="G72" s="433"/>
      <c r="H72" s="433"/>
      <c r="I72" s="445">
        <f t="shared" si="0"/>
        <v>21000</v>
      </c>
      <c r="J72" s="433"/>
      <c r="K72" s="433"/>
      <c r="L72" s="433"/>
      <c r="M72" s="433"/>
      <c r="N72" s="432"/>
      <c r="O72" s="433"/>
      <c r="P72" s="433"/>
      <c r="Q72" s="430"/>
      <c r="R72" s="432">
        <v>35902</v>
      </c>
      <c r="S72" s="432">
        <v>35902</v>
      </c>
      <c r="T72" s="432">
        <v>200</v>
      </c>
      <c r="U72" s="428"/>
      <c r="V72" s="428"/>
    </row>
    <row r="73" spans="1:22">
      <c r="A73" s="441" t="s">
        <v>1003</v>
      </c>
      <c r="B73" s="699">
        <v>1</v>
      </c>
      <c r="C73" s="439">
        <v>2441</v>
      </c>
      <c r="D73" s="430" t="s">
        <v>974</v>
      </c>
      <c r="E73" s="431">
        <v>29292</v>
      </c>
      <c r="F73" s="431">
        <v>3600</v>
      </c>
      <c r="G73" s="433"/>
      <c r="H73" s="433"/>
      <c r="I73" s="445">
        <f t="shared" si="0"/>
        <v>21000</v>
      </c>
      <c r="J73" s="433"/>
      <c r="K73" s="433"/>
      <c r="L73" s="433"/>
      <c r="M73" s="433"/>
      <c r="N73" s="432"/>
      <c r="O73" s="433"/>
      <c r="P73" s="433"/>
      <c r="Q73" s="430"/>
      <c r="R73" s="432">
        <v>33783</v>
      </c>
      <c r="S73" s="432">
        <v>33783</v>
      </c>
      <c r="T73" s="432">
        <v>200</v>
      </c>
      <c r="U73" s="428"/>
      <c r="V73" s="428"/>
    </row>
    <row r="74" spans="1:22">
      <c r="A74" s="441" t="s">
        <v>1003</v>
      </c>
      <c r="B74" s="699">
        <v>1</v>
      </c>
      <c r="C74" s="439">
        <v>2441</v>
      </c>
      <c r="D74" s="430" t="s">
        <v>974</v>
      </c>
      <c r="E74" s="431">
        <v>29292</v>
      </c>
      <c r="F74" s="431">
        <v>3600</v>
      </c>
      <c r="G74" s="433"/>
      <c r="H74" s="433"/>
      <c r="I74" s="445">
        <f t="shared" si="0"/>
        <v>21000</v>
      </c>
      <c r="J74" s="433"/>
      <c r="K74" s="433"/>
      <c r="L74" s="433"/>
      <c r="M74" s="433"/>
      <c r="N74" s="432"/>
      <c r="O74" s="433"/>
      <c r="P74" s="433"/>
      <c r="Q74" s="430"/>
      <c r="R74" s="432">
        <v>33783</v>
      </c>
      <c r="S74" s="432">
        <v>33783</v>
      </c>
      <c r="T74" s="432">
        <v>200</v>
      </c>
      <c r="U74" s="428"/>
      <c r="V74" s="428"/>
    </row>
    <row r="75" spans="1:22">
      <c r="A75" s="441" t="s">
        <v>1003</v>
      </c>
      <c r="B75" s="699">
        <v>1</v>
      </c>
      <c r="C75" s="439">
        <v>2441</v>
      </c>
      <c r="D75" s="430" t="s">
        <v>974</v>
      </c>
      <c r="E75" s="431">
        <v>29292</v>
      </c>
      <c r="F75" s="431">
        <v>3600</v>
      </c>
      <c r="G75" s="433"/>
      <c r="H75" s="433"/>
      <c r="I75" s="445">
        <f t="shared" si="0"/>
        <v>21000</v>
      </c>
      <c r="J75" s="433"/>
      <c r="K75" s="433"/>
      <c r="L75" s="433"/>
      <c r="M75" s="433"/>
      <c r="N75" s="432"/>
      <c r="O75" s="433"/>
      <c r="P75" s="433"/>
      <c r="Q75" s="430"/>
      <c r="R75" s="432">
        <v>33783</v>
      </c>
      <c r="S75" s="432">
        <v>33783</v>
      </c>
      <c r="T75" s="432">
        <v>200</v>
      </c>
      <c r="U75" s="428"/>
      <c r="V75" s="428"/>
    </row>
    <row r="76" spans="1:22">
      <c r="A76" s="441" t="s">
        <v>1003</v>
      </c>
      <c r="B76" s="699">
        <v>1</v>
      </c>
      <c r="C76" s="439">
        <v>2441</v>
      </c>
      <c r="D76" s="430" t="s">
        <v>974</v>
      </c>
      <c r="E76" s="431">
        <v>29292</v>
      </c>
      <c r="F76" s="431">
        <v>3600</v>
      </c>
      <c r="G76" s="433"/>
      <c r="H76" s="433"/>
      <c r="I76" s="445">
        <f t="shared" si="0"/>
        <v>21000</v>
      </c>
      <c r="J76" s="433"/>
      <c r="K76" s="433"/>
      <c r="L76" s="433"/>
      <c r="M76" s="433"/>
      <c r="N76" s="432"/>
      <c r="O76" s="433"/>
      <c r="P76" s="433"/>
      <c r="Q76" s="430"/>
      <c r="R76" s="432">
        <v>33783</v>
      </c>
      <c r="S76" s="432">
        <v>33783</v>
      </c>
      <c r="T76" s="432">
        <v>200</v>
      </c>
      <c r="U76" s="428"/>
      <c r="V76" s="428"/>
    </row>
    <row r="77" spans="1:22">
      <c r="A77" s="441" t="s">
        <v>1005</v>
      </c>
      <c r="B77" s="699">
        <v>1</v>
      </c>
      <c r="C77" s="439">
        <v>1831</v>
      </c>
      <c r="D77" s="430" t="s">
        <v>974</v>
      </c>
      <c r="E77" s="431">
        <v>21972</v>
      </c>
      <c r="F77" s="431">
        <v>3600</v>
      </c>
      <c r="G77" s="433"/>
      <c r="H77" s="433"/>
      <c r="I77" s="445">
        <f>22200-F77</f>
        <v>18600</v>
      </c>
      <c r="J77" s="433"/>
      <c r="K77" s="433"/>
      <c r="L77" s="433"/>
      <c r="M77" s="433"/>
      <c r="N77" s="432"/>
      <c r="O77" s="433"/>
      <c r="P77" s="433"/>
      <c r="Q77" s="430"/>
      <c r="R77" s="432">
        <v>25653</v>
      </c>
      <c r="S77" s="432">
        <v>25653</v>
      </c>
      <c r="T77" s="432">
        <v>200</v>
      </c>
      <c r="U77" s="428"/>
      <c r="V77" s="428"/>
    </row>
    <row r="78" spans="1:22">
      <c r="A78" s="441" t="s">
        <v>1005</v>
      </c>
      <c r="B78" s="699">
        <v>1</v>
      </c>
      <c r="C78" s="439">
        <v>1831</v>
      </c>
      <c r="D78" s="430" t="s">
        <v>974</v>
      </c>
      <c r="E78" s="431">
        <v>21972</v>
      </c>
      <c r="F78" s="431">
        <v>3600</v>
      </c>
      <c r="G78" s="433"/>
      <c r="H78" s="433"/>
      <c r="I78" s="445">
        <f>22200-F78</f>
        <v>18600</v>
      </c>
      <c r="J78" s="433"/>
      <c r="K78" s="433"/>
      <c r="L78" s="433"/>
      <c r="M78" s="433"/>
      <c r="N78" s="432"/>
      <c r="O78" s="433"/>
      <c r="P78" s="433"/>
      <c r="Q78" s="430"/>
      <c r="R78" s="432">
        <v>25653</v>
      </c>
      <c r="S78" s="432">
        <v>25653</v>
      </c>
      <c r="T78" s="432">
        <v>200</v>
      </c>
      <c r="U78" s="428"/>
      <c r="V78" s="428"/>
    </row>
    <row r="79" spans="1:22">
      <c r="A79" s="441" t="s">
        <v>1003</v>
      </c>
      <c r="B79" s="699">
        <v>1</v>
      </c>
      <c r="C79" s="439">
        <v>2441</v>
      </c>
      <c r="D79" s="430" t="s">
        <v>974</v>
      </c>
      <c r="E79" s="431">
        <v>29292</v>
      </c>
      <c r="F79" s="431">
        <v>3600</v>
      </c>
      <c r="G79" s="432"/>
      <c r="H79" s="432"/>
      <c r="I79" s="446">
        <f>24600-F79</f>
        <v>21000</v>
      </c>
      <c r="J79" s="432"/>
      <c r="K79" s="432"/>
      <c r="L79" s="432"/>
      <c r="M79" s="432"/>
      <c r="N79" s="432"/>
      <c r="O79" s="432"/>
      <c r="P79" s="432"/>
      <c r="Q79" s="428"/>
      <c r="R79" s="432">
        <v>33783</v>
      </c>
      <c r="S79" s="432">
        <v>33783</v>
      </c>
      <c r="T79" s="432">
        <v>200</v>
      </c>
      <c r="U79" s="428"/>
      <c r="V79" s="428"/>
    </row>
    <row r="80" spans="1:22">
      <c r="A80" s="441" t="s">
        <v>1005</v>
      </c>
      <c r="B80" s="699">
        <v>1</v>
      </c>
      <c r="C80" s="439">
        <v>1831</v>
      </c>
      <c r="D80" s="430" t="s">
        <v>974</v>
      </c>
      <c r="E80" s="431">
        <v>21972</v>
      </c>
      <c r="F80" s="431">
        <v>3600</v>
      </c>
      <c r="G80" s="432"/>
      <c r="H80" s="432"/>
      <c r="I80" s="446">
        <f>22200-F80</f>
        <v>18600</v>
      </c>
      <c r="J80" s="432"/>
      <c r="K80" s="432"/>
      <c r="L80" s="432"/>
      <c r="M80" s="432"/>
      <c r="N80" s="432"/>
      <c r="O80" s="432"/>
      <c r="P80" s="432"/>
      <c r="Q80" s="428"/>
      <c r="R80" s="432">
        <v>25653</v>
      </c>
      <c r="S80" s="432">
        <v>25653</v>
      </c>
      <c r="T80" s="432">
        <v>200</v>
      </c>
      <c r="U80" s="428"/>
      <c r="V80" s="428"/>
    </row>
    <row r="81" spans="1:22">
      <c r="A81" s="441" t="s">
        <v>1003</v>
      </c>
      <c r="B81" s="699">
        <v>1</v>
      </c>
      <c r="C81" s="439">
        <v>2441</v>
      </c>
      <c r="D81" s="430" t="s">
        <v>974</v>
      </c>
      <c r="E81" s="431">
        <v>29292</v>
      </c>
      <c r="F81" s="431">
        <v>3600</v>
      </c>
      <c r="G81" s="432"/>
      <c r="H81" s="432"/>
      <c r="I81" s="446">
        <f>24600-F81</f>
        <v>21000</v>
      </c>
      <c r="J81" s="432"/>
      <c r="K81" s="432"/>
      <c r="L81" s="432"/>
      <c r="M81" s="432"/>
      <c r="N81" s="432"/>
      <c r="O81" s="432"/>
      <c r="P81" s="432"/>
      <c r="Q81" s="428"/>
      <c r="R81" s="432">
        <v>33783</v>
      </c>
      <c r="S81" s="432">
        <v>33783</v>
      </c>
      <c r="T81" s="432">
        <v>200</v>
      </c>
      <c r="U81" s="428"/>
      <c r="V81" s="428"/>
    </row>
    <row r="82" spans="1:22">
      <c r="A82" s="441" t="s">
        <v>1003</v>
      </c>
      <c r="B82" s="699">
        <v>1</v>
      </c>
      <c r="C82" s="439">
        <v>2441</v>
      </c>
      <c r="D82" s="430" t="s">
        <v>974</v>
      </c>
      <c r="E82" s="431">
        <v>29292</v>
      </c>
      <c r="F82" s="431">
        <v>3600</v>
      </c>
      <c r="G82" s="432"/>
      <c r="H82" s="432"/>
      <c r="I82" s="446">
        <f>24600-F82</f>
        <v>21000</v>
      </c>
      <c r="J82" s="432"/>
      <c r="K82" s="432"/>
      <c r="L82" s="432"/>
      <c r="M82" s="432"/>
      <c r="N82" s="432"/>
      <c r="O82" s="432"/>
      <c r="P82" s="432"/>
      <c r="Q82" s="428"/>
      <c r="R82" s="432">
        <v>33783</v>
      </c>
      <c r="S82" s="432">
        <v>33783</v>
      </c>
      <c r="T82" s="432">
        <v>200</v>
      </c>
      <c r="U82" s="428"/>
      <c r="V82" s="428"/>
    </row>
    <row r="83" spans="1:22">
      <c r="A83" s="441" t="s">
        <v>1005</v>
      </c>
      <c r="B83" s="699">
        <v>1</v>
      </c>
      <c r="C83" s="439">
        <v>1831</v>
      </c>
      <c r="D83" s="430" t="s">
        <v>974</v>
      </c>
      <c r="E83" s="431">
        <v>21972</v>
      </c>
      <c r="F83" s="431">
        <v>3600</v>
      </c>
      <c r="G83" s="432"/>
      <c r="H83" s="432"/>
      <c r="I83" s="446">
        <f>22200-F83</f>
        <v>18600</v>
      </c>
      <c r="J83" s="432"/>
      <c r="K83" s="432"/>
      <c r="L83" s="432"/>
      <c r="M83" s="432"/>
      <c r="N83" s="432"/>
      <c r="O83" s="432"/>
      <c r="P83" s="432"/>
      <c r="Q83" s="428"/>
      <c r="R83" s="432">
        <v>25653</v>
      </c>
      <c r="S83" s="432">
        <v>25653</v>
      </c>
      <c r="T83" s="432">
        <v>200</v>
      </c>
      <c r="U83" s="428"/>
      <c r="V83" s="428"/>
    </row>
    <row r="84" spans="1:22">
      <c r="A84" s="441" t="s">
        <v>1006</v>
      </c>
      <c r="B84" s="699">
        <v>1</v>
      </c>
      <c r="C84" s="439">
        <v>20000</v>
      </c>
      <c r="D84" s="430" t="s">
        <v>979</v>
      </c>
      <c r="E84" s="431"/>
      <c r="F84" s="428"/>
      <c r="G84" s="432"/>
      <c r="H84" s="432"/>
      <c r="I84" s="432"/>
      <c r="J84" s="432"/>
      <c r="K84" s="432">
        <v>180000</v>
      </c>
      <c r="L84" s="432">
        <v>3375</v>
      </c>
      <c r="M84" s="432">
        <v>2250</v>
      </c>
      <c r="N84" s="432"/>
      <c r="O84" s="432"/>
      <c r="P84" s="432"/>
      <c r="Q84" s="432"/>
      <c r="R84" s="432">
        <v>20375</v>
      </c>
      <c r="S84" s="432">
        <v>20375</v>
      </c>
      <c r="T84" s="432">
        <v>200</v>
      </c>
      <c r="U84" s="428"/>
      <c r="V84" s="428"/>
    </row>
    <row r="85" spans="1:22">
      <c r="A85" s="441" t="s">
        <v>114</v>
      </c>
      <c r="B85" s="699">
        <v>1</v>
      </c>
      <c r="C85" s="439">
        <v>18000</v>
      </c>
      <c r="D85" s="430" t="s">
        <v>980</v>
      </c>
      <c r="E85" s="431"/>
      <c r="F85" s="428"/>
      <c r="G85" s="432"/>
      <c r="H85" s="432"/>
      <c r="I85" s="432"/>
      <c r="J85" s="432"/>
      <c r="K85" s="432">
        <v>162000</v>
      </c>
      <c r="L85" s="432">
        <v>3375</v>
      </c>
      <c r="M85" s="432">
        <v>2250</v>
      </c>
      <c r="N85" s="432"/>
      <c r="O85" s="432"/>
      <c r="P85" s="432"/>
      <c r="Q85" s="432"/>
      <c r="R85" s="432">
        <v>18375</v>
      </c>
      <c r="S85" s="432">
        <v>18375</v>
      </c>
      <c r="T85" s="432">
        <v>200</v>
      </c>
      <c r="U85" s="428"/>
      <c r="V85" s="428"/>
    </row>
    <row r="86" spans="1:22">
      <c r="A86" s="441" t="s">
        <v>62</v>
      </c>
      <c r="B86" s="699">
        <v>1</v>
      </c>
      <c r="C86" s="439">
        <v>15000</v>
      </c>
      <c r="D86" s="430" t="s">
        <v>981</v>
      </c>
      <c r="E86" s="431"/>
      <c r="F86" s="432"/>
      <c r="G86" s="432"/>
      <c r="H86" s="432"/>
      <c r="I86" s="432"/>
      <c r="J86" s="432"/>
      <c r="K86" s="432">
        <v>135000</v>
      </c>
      <c r="L86" s="432">
        <v>3375</v>
      </c>
      <c r="M86" s="432">
        <v>2250</v>
      </c>
      <c r="N86" s="432"/>
      <c r="O86" s="432"/>
      <c r="P86" s="432"/>
      <c r="Q86" s="432"/>
      <c r="R86" s="432">
        <v>15375</v>
      </c>
      <c r="S86" s="432">
        <v>15375</v>
      </c>
      <c r="T86" s="432">
        <v>200</v>
      </c>
      <c r="U86" s="428"/>
      <c r="V86" s="428"/>
    </row>
    <row r="87" spans="1:22">
      <c r="A87" s="427" t="s">
        <v>1007</v>
      </c>
      <c r="B87" s="701">
        <v>1</v>
      </c>
      <c r="C87" s="447">
        <v>20000</v>
      </c>
      <c r="D87" s="448" t="s">
        <v>982</v>
      </c>
      <c r="E87" s="428"/>
      <c r="F87" s="428"/>
      <c r="G87" s="428"/>
      <c r="H87" s="428"/>
      <c r="I87" s="428"/>
      <c r="J87" s="428"/>
      <c r="K87" s="447">
        <f>C87*12</f>
        <v>240000</v>
      </c>
      <c r="L87" s="447">
        <f>375*12</f>
        <v>4500</v>
      </c>
      <c r="M87" s="447">
        <f>250*12</f>
        <v>3000</v>
      </c>
      <c r="N87" s="428"/>
      <c r="O87" s="428"/>
      <c r="P87" s="428"/>
      <c r="Q87" s="428"/>
      <c r="R87" s="432">
        <v>20375</v>
      </c>
      <c r="S87" s="432">
        <v>20375</v>
      </c>
      <c r="T87" s="432">
        <v>200</v>
      </c>
      <c r="U87" s="447"/>
      <c r="V87" s="428"/>
    </row>
    <row r="88" spans="1:22">
      <c r="A88" s="427" t="s">
        <v>1008</v>
      </c>
      <c r="B88" s="701">
        <v>1</v>
      </c>
      <c r="C88" s="447">
        <v>18000</v>
      </c>
      <c r="D88" s="448" t="s">
        <v>982</v>
      </c>
      <c r="E88" s="428"/>
      <c r="F88" s="428"/>
      <c r="G88" s="428"/>
      <c r="H88" s="428"/>
      <c r="I88" s="428"/>
      <c r="J88" s="428"/>
      <c r="K88" s="447">
        <f>C88*12</f>
        <v>216000</v>
      </c>
      <c r="L88" s="447">
        <f t="shared" ref="L88:L89" si="1">375*12</f>
        <v>4500</v>
      </c>
      <c r="M88" s="447">
        <f t="shared" ref="M88:M89" si="2">250*12</f>
        <v>3000</v>
      </c>
      <c r="N88" s="428"/>
      <c r="O88" s="428"/>
      <c r="P88" s="428"/>
      <c r="Q88" s="432"/>
      <c r="R88" s="432">
        <v>18375</v>
      </c>
      <c r="S88" s="432">
        <v>18375</v>
      </c>
      <c r="T88" s="432">
        <v>200</v>
      </c>
      <c r="U88" s="447"/>
      <c r="V88" s="428"/>
    </row>
    <row r="89" spans="1:22">
      <c r="A89" s="427" t="s">
        <v>1008</v>
      </c>
      <c r="B89" s="701">
        <v>1</v>
      </c>
      <c r="C89" s="447">
        <v>15000</v>
      </c>
      <c r="D89" s="448" t="s">
        <v>982</v>
      </c>
      <c r="E89" s="428"/>
      <c r="F89" s="428"/>
      <c r="G89" s="428"/>
      <c r="H89" s="428"/>
      <c r="I89" s="428"/>
      <c r="J89" s="428"/>
      <c r="K89" s="447">
        <f>C89*12</f>
        <v>180000</v>
      </c>
      <c r="L89" s="447">
        <f t="shared" si="1"/>
        <v>4500</v>
      </c>
      <c r="M89" s="447">
        <f t="shared" si="2"/>
        <v>3000</v>
      </c>
      <c r="N89" s="428"/>
      <c r="O89" s="428"/>
      <c r="P89" s="428"/>
      <c r="Q89" s="428"/>
      <c r="R89" s="432">
        <v>15375</v>
      </c>
      <c r="S89" s="432">
        <v>15375</v>
      </c>
      <c r="T89" s="432">
        <v>200</v>
      </c>
      <c r="U89" s="447"/>
      <c r="V89" s="428"/>
    </row>
    <row r="90" spans="1:22">
      <c r="A90" s="427" t="s">
        <v>1009</v>
      </c>
      <c r="B90" s="701">
        <v>18</v>
      </c>
      <c r="C90" s="447">
        <f>B90*18000</f>
        <v>324000</v>
      </c>
      <c r="D90" s="448" t="s">
        <v>983</v>
      </c>
      <c r="E90" s="428"/>
      <c r="F90" s="428"/>
      <c r="G90" s="428"/>
      <c r="H90" s="428"/>
      <c r="I90" s="428"/>
      <c r="J90" s="428"/>
      <c r="K90" s="447"/>
      <c r="L90" s="447"/>
      <c r="M90" s="447"/>
      <c r="N90" s="428"/>
      <c r="O90" s="428"/>
      <c r="P90" s="428"/>
      <c r="Q90" s="428"/>
      <c r="R90" s="447"/>
      <c r="S90" s="447"/>
      <c r="T90" s="432"/>
      <c r="U90" s="432">
        <f>C90*12</f>
        <v>3888000</v>
      </c>
      <c r="V90" s="432"/>
    </row>
    <row r="91" spans="1:22">
      <c r="A91" s="427" t="s">
        <v>1010</v>
      </c>
      <c r="B91" s="701">
        <v>3</v>
      </c>
      <c r="C91" s="447">
        <v>43000</v>
      </c>
      <c r="D91" s="448" t="s">
        <v>983</v>
      </c>
      <c r="E91" s="428"/>
      <c r="F91" s="428"/>
      <c r="G91" s="428"/>
      <c r="H91" s="428"/>
      <c r="I91" s="428"/>
      <c r="J91" s="428"/>
      <c r="K91" s="447"/>
      <c r="L91" s="447"/>
      <c r="M91" s="447"/>
      <c r="N91" s="428"/>
      <c r="O91" s="428"/>
      <c r="P91" s="428"/>
      <c r="Q91" s="428"/>
      <c r="R91" s="447"/>
      <c r="S91" s="447"/>
      <c r="T91" s="447"/>
      <c r="U91" s="432">
        <f>C91*12</f>
        <v>516000</v>
      </c>
      <c r="V91" s="432"/>
    </row>
    <row r="92" spans="1:22">
      <c r="A92" s="427" t="s">
        <v>1011</v>
      </c>
      <c r="B92" s="701">
        <v>6</v>
      </c>
      <c r="C92" s="447">
        <f>12000*B92</f>
        <v>72000</v>
      </c>
      <c r="D92" s="448" t="s">
        <v>983</v>
      </c>
      <c r="E92" s="428"/>
      <c r="F92" s="428"/>
      <c r="G92" s="428"/>
      <c r="H92" s="428"/>
      <c r="I92" s="428"/>
      <c r="J92" s="428"/>
      <c r="K92" s="447"/>
      <c r="L92" s="447"/>
      <c r="M92" s="447"/>
      <c r="N92" s="428"/>
      <c r="O92" s="428"/>
      <c r="P92" s="428"/>
      <c r="Q92" s="428"/>
      <c r="R92" s="447"/>
      <c r="S92" s="447"/>
      <c r="T92" s="447"/>
      <c r="U92" s="432">
        <f>C92*12</f>
        <v>864000</v>
      </c>
      <c r="V92" s="432"/>
    </row>
    <row r="93" spans="1:22">
      <c r="A93" s="427" t="s">
        <v>1012</v>
      </c>
      <c r="B93" s="701">
        <v>6</v>
      </c>
      <c r="C93" s="447">
        <v>49000</v>
      </c>
      <c r="D93" s="448" t="s">
        <v>983</v>
      </c>
      <c r="E93" s="428"/>
      <c r="F93" s="428"/>
      <c r="G93" s="428"/>
      <c r="H93" s="428"/>
      <c r="I93" s="428"/>
      <c r="J93" s="428"/>
      <c r="K93" s="447"/>
      <c r="L93" s="447"/>
      <c r="M93" s="447"/>
      <c r="N93" s="428"/>
      <c r="O93" s="428"/>
      <c r="P93" s="428"/>
      <c r="Q93" s="428"/>
      <c r="R93" s="447"/>
      <c r="S93" s="447"/>
      <c r="T93" s="447"/>
      <c r="U93" s="432">
        <f>C93*12</f>
        <v>588000</v>
      </c>
      <c r="V93" s="432"/>
    </row>
    <row r="94" spans="1:22" ht="13.5" thickBot="1">
      <c r="A94" s="571" t="s">
        <v>1013</v>
      </c>
      <c r="B94" s="702"/>
      <c r="C94" s="572"/>
      <c r="D94" s="572"/>
      <c r="E94" s="572"/>
      <c r="F94" s="573"/>
      <c r="G94" s="572"/>
      <c r="H94" s="572"/>
      <c r="I94" s="572"/>
      <c r="J94" s="572"/>
      <c r="K94" s="572"/>
      <c r="L94" s="572"/>
      <c r="M94" s="572"/>
      <c r="N94" s="572"/>
      <c r="O94" s="572"/>
      <c r="P94" s="572"/>
      <c r="Q94" s="572"/>
      <c r="R94" s="572"/>
      <c r="S94" s="572"/>
      <c r="T94" s="572"/>
      <c r="U94" s="573"/>
      <c r="V94" s="573">
        <v>449992</v>
      </c>
    </row>
    <row r="95" spans="1:22" ht="13.5" thickBot="1">
      <c r="A95" s="574"/>
      <c r="B95" s="575"/>
      <c r="C95" s="576"/>
      <c r="D95" s="576" t="s">
        <v>984</v>
      </c>
      <c r="E95" s="577">
        <f>SUM(E9:E94)</f>
        <v>2067936</v>
      </c>
      <c r="F95" s="577">
        <v>196320</v>
      </c>
      <c r="G95" s="577">
        <v>11400</v>
      </c>
      <c r="H95" s="577">
        <v>40500</v>
      </c>
      <c r="I95" s="577">
        <v>1279500</v>
      </c>
      <c r="J95" s="577">
        <f>SUM(J30:J94)</f>
        <v>25824</v>
      </c>
      <c r="K95" s="577">
        <v>1821000</v>
      </c>
      <c r="L95" s="577">
        <v>41625</v>
      </c>
      <c r="M95" s="577">
        <v>72750</v>
      </c>
      <c r="N95" s="577">
        <v>516000</v>
      </c>
      <c r="O95" s="577">
        <v>714548</v>
      </c>
      <c r="P95" s="577">
        <v>265200</v>
      </c>
      <c r="Q95" s="577">
        <v>5640</v>
      </c>
      <c r="R95" s="577">
        <v>1298131.58</v>
      </c>
      <c r="S95" s="577">
        <v>1298131.58</v>
      </c>
      <c r="T95" s="577">
        <v>19200</v>
      </c>
      <c r="U95" s="577">
        <f>SUM(U90:U94)</f>
        <v>5856000</v>
      </c>
      <c r="V95" s="578">
        <f>SUM(V94)</f>
        <v>449992</v>
      </c>
    </row>
    <row r="96" spans="1:22">
      <c r="G96" s="360"/>
    </row>
    <row r="97" spans="7:22">
      <c r="U97" s="451" t="s">
        <v>984</v>
      </c>
      <c r="V97" s="449">
        <v>15979698.16</v>
      </c>
    </row>
    <row r="101" spans="7:22">
      <c r="G101" s="360"/>
    </row>
  </sheetData>
  <mergeCells count="10">
    <mergeCell ref="A1:T1"/>
    <mergeCell ref="A2:T2"/>
    <mergeCell ref="A3:T3"/>
    <mergeCell ref="A4:T4"/>
    <mergeCell ref="A5:T5"/>
    <mergeCell ref="A7:A8"/>
    <mergeCell ref="B7:B8"/>
    <mergeCell ref="C7:C8"/>
    <mergeCell ref="D7:D8"/>
    <mergeCell ref="E7:T7"/>
  </mergeCells>
  <pageMargins left="0.70866141732283472" right="0.70866141732283472" top="0.74803149606299213" bottom="0.74803149606299213" header="0.31496062992125984" footer="0.31496062992125984"/>
  <pageSetup paperSize="17" scale="3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2"/>
  <sheetViews>
    <sheetView view="pageBreakPreview" topLeftCell="K55" zoomScale="91" zoomScaleNormal="100" zoomScaleSheetLayoutView="91" workbookViewId="0">
      <selection activeCell="O91" sqref="O91"/>
    </sheetView>
  </sheetViews>
  <sheetFormatPr baseColWidth="10" defaultColWidth="12" defaultRowHeight="11.25"/>
  <cols>
    <col min="1" max="3" width="12" style="746"/>
    <col min="4" max="4" width="12" style="795"/>
    <col min="5" max="8" width="12" style="746"/>
    <col min="9" max="11" width="15" style="746" customWidth="1"/>
    <col min="12" max="12" width="12" style="746"/>
    <col min="13" max="14" width="14.28515625" style="746" customWidth="1"/>
    <col min="15" max="15" width="12" style="746"/>
    <col min="16" max="18" width="13.5703125" style="746" customWidth="1"/>
    <col min="19" max="20" width="12" style="746"/>
    <col min="21" max="22" width="15" style="746" customWidth="1"/>
    <col min="23" max="16384" width="12" style="746"/>
  </cols>
  <sheetData>
    <row r="1" spans="1:22" ht="12.75">
      <c r="A1" s="152" t="s">
        <v>25</v>
      </c>
      <c r="B1" s="356"/>
      <c r="C1" s="356"/>
      <c r="D1" s="745"/>
      <c r="E1" s="356"/>
      <c r="F1" s="356"/>
      <c r="G1" s="356"/>
      <c r="H1" s="356"/>
      <c r="I1" s="356"/>
      <c r="J1" s="356"/>
    </row>
    <row r="2" spans="1:22" ht="12.75">
      <c r="A2" s="895" t="s">
        <v>26</v>
      </c>
      <c r="B2" s="895"/>
      <c r="C2" s="895"/>
      <c r="D2" s="895"/>
      <c r="E2" s="895"/>
      <c r="F2" s="895"/>
      <c r="G2" s="895"/>
      <c r="H2" s="895"/>
      <c r="I2" s="895"/>
      <c r="J2" s="895"/>
    </row>
    <row r="3" spans="1:22" ht="12.75">
      <c r="A3" s="895" t="s">
        <v>720</v>
      </c>
      <c r="B3" s="895"/>
      <c r="C3" s="895"/>
      <c r="D3" s="895"/>
      <c r="E3" s="895"/>
      <c r="F3" s="895"/>
      <c r="G3" s="895"/>
      <c r="H3" s="895"/>
      <c r="I3" s="895"/>
      <c r="J3" s="895"/>
    </row>
    <row r="4" spans="1:22" ht="13.5" thickBot="1">
      <c r="A4" s="895" t="s">
        <v>28</v>
      </c>
      <c r="B4" s="895"/>
      <c r="C4" s="895"/>
      <c r="D4" s="895"/>
      <c r="E4" s="895"/>
      <c r="F4" s="895"/>
      <c r="G4" s="895"/>
      <c r="H4" s="895"/>
      <c r="I4" s="895"/>
      <c r="J4" s="895"/>
    </row>
    <row r="5" spans="1:22" ht="15" customHeight="1">
      <c r="A5" s="900" t="s">
        <v>462</v>
      </c>
      <c r="B5" s="898" t="s">
        <v>36</v>
      </c>
      <c r="C5" s="896" t="s">
        <v>37</v>
      </c>
      <c r="D5" s="896" t="s">
        <v>38</v>
      </c>
      <c r="E5" s="884" t="s">
        <v>30</v>
      </c>
      <c r="F5" s="884"/>
      <c r="G5" s="884"/>
      <c r="H5" s="884"/>
      <c r="I5" s="884"/>
      <c r="J5" s="884"/>
      <c r="K5" s="884"/>
      <c r="L5" s="884"/>
      <c r="M5" s="884"/>
      <c r="N5" s="884"/>
      <c r="O5" s="884"/>
      <c r="P5" s="884"/>
      <c r="Q5" s="884"/>
      <c r="R5" s="884"/>
      <c r="S5" s="884"/>
      <c r="T5" s="884"/>
      <c r="U5" s="884"/>
      <c r="V5" s="902"/>
    </row>
    <row r="6" spans="1:22" s="175" customFormat="1" ht="13.5" thickBot="1">
      <c r="A6" s="901"/>
      <c r="B6" s="899"/>
      <c r="C6" s="897"/>
      <c r="D6" s="897"/>
      <c r="E6" s="747">
        <v>11</v>
      </c>
      <c r="F6" s="747">
        <v>12</v>
      </c>
      <c r="G6" s="747">
        <v>13</v>
      </c>
      <c r="H6" s="747">
        <v>15</v>
      </c>
      <c r="I6" s="747">
        <v>21</v>
      </c>
      <c r="J6" s="747">
        <v>22</v>
      </c>
      <c r="K6" s="747">
        <v>26</v>
      </c>
      <c r="L6" s="747">
        <v>27</v>
      </c>
      <c r="M6" s="747">
        <v>29</v>
      </c>
      <c r="N6" s="747">
        <v>31</v>
      </c>
      <c r="O6" s="747">
        <v>32</v>
      </c>
      <c r="P6" s="747">
        <v>33</v>
      </c>
      <c r="Q6" s="747">
        <v>71</v>
      </c>
      <c r="R6" s="747">
        <v>72</v>
      </c>
      <c r="S6" s="747">
        <v>73</v>
      </c>
      <c r="T6" s="747">
        <v>133</v>
      </c>
      <c r="U6" s="747">
        <v>413</v>
      </c>
      <c r="V6" s="748">
        <v>415</v>
      </c>
    </row>
    <row r="7" spans="1:22">
      <c r="A7" s="749" t="s">
        <v>182</v>
      </c>
      <c r="B7" s="750">
        <v>1</v>
      </c>
      <c r="C7" s="751">
        <v>1192</v>
      </c>
      <c r="D7" s="752" t="s">
        <v>716</v>
      </c>
      <c r="E7" s="753">
        <v>14304</v>
      </c>
      <c r="F7" s="754"/>
      <c r="G7" s="754"/>
      <c r="H7" s="754">
        <v>7800</v>
      </c>
      <c r="I7" s="755"/>
      <c r="J7" s="755"/>
      <c r="K7" s="755"/>
      <c r="L7" s="755"/>
      <c r="M7" s="756"/>
      <c r="N7" s="755"/>
      <c r="O7" s="755"/>
      <c r="P7" s="755"/>
      <c r="Q7" s="754">
        <v>1192</v>
      </c>
      <c r="R7" s="755">
        <v>1192</v>
      </c>
      <c r="S7" s="757">
        <v>200</v>
      </c>
      <c r="T7" s="757"/>
      <c r="U7" s="757"/>
      <c r="V7" s="757"/>
    </row>
    <row r="8" spans="1:22" ht="33.75">
      <c r="A8" s="758" t="s">
        <v>179</v>
      </c>
      <c r="B8" s="750">
        <v>1</v>
      </c>
      <c r="C8" s="751">
        <v>2441</v>
      </c>
      <c r="D8" s="243" t="s">
        <v>716</v>
      </c>
      <c r="E8" s="753">
        <v>29292</v>
      </c>
      <c r="F8" s="754"/>
      <c r="G8" s="754">
        <v>600</v>
      </c>
      <c r="H8" s="754">
        <v>11400</v>
      </c>
      <c r="I8" s="755"/>
      <c r="J8" s="755"/>
      <c r="K8" s="755"/>
      <c r="L8" s="755"/>
      <c r="M8" s="756"/>
      <c r="N8" s="755"/>
      <c r="O8" s="755"/>
      <c r="P8" s="755"/>
      <c r="Q8" s="759">
        <v>2441</v>
      </c>
      <c r="R8" s="760">
        <v>2441</v>
      </c>
      <c r="S8" s="761">
        <v>200</v>
      </c>
      <c r="T8" s="761"/>
      <c r="U8" s="761"/>
      <c r="V8" s="761"/>
    </row>
    <row r="9" spans="1:22" ht="33.75">
      <c r="A9" s="758" t="s">
        <v>177</v>
      </c>
      <c r="B9" s="750">
        <v>1</v>
      </c>
      <c r="C9" s="751">
        <v>2120</v>
      </c>
      <c r="D9" s="243" t="s">
        <v>716</v>
      </c>
      <c r="E9" s="753">
        <v>25440</v>
      </c>
      <c r="F9" s="754"/>
      <c r="G9" s="754"/>
      <c r="H9" s="754">
        <v>3000</v>
      </c>
      <c r="I9" s="755"/>
      <c r="J9" s="755"/>
      <c r="K9" s="755"/>
      <c r="L9" s="755"/>
      <c r="M9" s="756"/>
      <c r="N9" s="755"/>
      <c r="O9" s="755"/>
      <c r="P9" s="755"/>
      <c r="Q9" s="759">
        <v>2120</v>
      </c>
      <c r="R9" s="760">
        <v>2120</v>
      </c>
      <c r="S9" s="761">
        <v>200</v>
      </c>
      <c r="T9" s="761"/>
      <c r="U9" s="761"/>
      <c r="V9" s="761"/>
    </row>
    <row r="10" spans="1:22" ht="33.75">
      <c r="A10" s="758" t="s">
        <v>721</v>
      </c>
      <c r="B10" s="750">
        <v>1</v>
      </c>
      <c r="C10" s="751">
        <v>1168</v>
      </c>
      <c r="D10" s="243" t="s">
        <v>716</v>
      </c>
      <c r="E10" s="753">
        <v>14016</v>
      </c>
      <c r="F10" s="754">
        <v>3300</v>
      </c>
      <c r="G10" s="754">
        <v>600</v>
      </c>
      <c r="H10" s="754">
        <v>3000</v>
      </c>
      <c r="I10" s="755"/>
      <c r="J10" s="755"/>
      <c r="K10" s="755"/>
      <c r="L10" s="755"/>
      <c r="M10" s="756"/>
      <c r="N10" s="755"/>
      <c r="O10" s="755"/>
      <c r="P10" s="755"/>
      <c r="Q10" s="759">
        <v>2120</v>
      </c>
      <c r="R10" s="760">
        <v>2120</v>
      </c>
      <c r="S10" s="761">
        <v>200</v>
      </c>
      <c r="T10" s="761"/>
      <c r="U10" s="761"/>
      <c r="V10" s="761"/>
    </row>
    <row r="11" spans="1:22" ht="33.75">
      <c r="A11" s="758" t="s">
        <v>722</v>
      </c>
      <c r="B11" s="750">
        <v>2</v>
      </c>
      <c r="C11" s="751">
        <v>876</v>
      </c>
      <c r="D11" s="243" t="s">
        <v>716</v>
      </c>
      <c r="E11" s="753">
        <v>21024</v>
      </c>
      <c r="F11" s="754">
        <v>3213.3599999999997</v>
      </c>
      <c r="G11" s="754">
        <v>675</v>
      </c>
      <c r="H11" s="754">
        <v>4500</v>
      </c>
      <c r="I11" s="755"/>
      <c r="J11" s="755"/>
      <c r="K11" s="755"/>
      <c r="L11" s="755"/>
      <c r="M11" s="756"/>
      <c r="N11" s="755"/>
      <c r="O11" s="755"/>
      <c r="P11" s="755"/>
      <c r="Q11" s="759">
        <v>1752</v>
      </c>
      <c r="R11" s="760">
        <v>1752</v>
      </c>
      <c r="S11" s="761">
        <v>400</v>
      </c>
      <c r="T11" s="761"/>
      <c r="U11" s="761"/>
      <c r="V11" s="761"/>
    </row>
    <row r="12" spans="1:22">
      <c r="A12" s="758" t="s">
        <v>47</v>
      </c>
      <c r="B12" s="750">
        <v>1</v>
      </c>
      <c r="C12" s="751">
        <v>1381</v>
      </c>
      <c r="D12" s="243" t="s">
        <v>716</v>
      </c>
      <c r="E12" s="753">
        <v>16572</v>
      </c>
      <c r="F12" s="754"/>
      <c r="G12" s="754"/>
      <c r="H12" s="754">
        <v>7800</v>
      </c>
      <c r="I12" s="755"/>
      <c r="J12" s="755"/>
      <c r="K12" s="755"/>
      <c r="L12" s="755"/>
      <c r="M12" s="756"/>
      <c r="N12" s="755"/>
      <c r="O12" s="755"/>
      <c r="P12" s="755"/>
      <c r="Q12" s="759">
        <v>1381</v>
      </c>
      <c r="R12" s="760">
        <v>1381</v>
      </c>
      <c r="S12" s="761">
        <v>200</v>
      </c>
      <c r="T12" s="761"/>
      <c r="U12" s="761"/>
      <c r="V12" s="761"/>
    </row>
    <row r="13" spans="1:22" ht="33.75">
      <c r="A13" s="758" t="s">
        <v>723</v>
      </c>
      <c r="B13" s="750">
        <v>1</v>
      </c>
      <c r="C13" s="751">
        <v>2152</v>
      </c>
      <c r="D13" s="243" t="s">
        <v>716</v>
      </c>
      <c r="E13" s="753">
        <v>25824</v>
      </c>
      <c r="F13" s="754"/>
      <c r="G13" s="754">
        <v>600</v>
      </c>
      <c r="H13" s="754">
        <v>3000</v>
      </c>
      <c r="I13" s="755"/>
      <c r="J13" s="755"/>
      <c r="K13" s="755"/>
      <c r="L13" s="755"/>
      <c r="M13" s="756"/>
      <c r="N13" s="755"/>
      <c r="O13" s="755"/>
      <c r="P13" s="755"/>
      <c r="Q13" s="759">
        <v>2152</v>
      </c>
      <c r="R13" s="760">
        <v>2152</v>
      </c>
      <c r="S13" s="761">
        <v>200</v>
      </c>
      <c r="T13" s="761"/>
      <c r="U13" s="761"/>
      <c r="V13" s="761"/>
    </row>
    <row r="14" spans="1:22" ht="22.5">
      <c r="A14" s="758" t="s">
        <v>191</v>
      </c>
      <c r="B14" s="750">
        <v>2</v>
      </c>
      <c r="C14" s="751">
        <v>1074</v>
      </c>
      <c r="D14" s="243" t="s">
        <v>716</v>
      </c>
      <c r="E14" s="753">
        <v>25776</v>
      </c>
      <c r="F14" s="754">
        <v>2200</v>
      </c>
      <c r="G14" s="754">
        <v>1000</v>
      </c>
      <c r="H14" s="754">
        <v>9200</v>
      </c>
      <c r="I14" s="755"/>
      <c r="J14" s="755"/>
      <c r="K14" s="755"/>
      <c r="L14" s="755"/>
      <c r="M14" s="756"/>
      <c r="N14" s="755"/>
      <c r="O14" s="755"/>
      <c r="P14" s="755"/>
      <c r="Q14" s="759">
        <v>2148</v>
      </c>
      <c r="R14" s="760">
        <v>2148</v>
      </c>
      <c r="S14" s="761">
        <v>400</v>
      </c>
      <c r="T14" s="761"/>
      <c r="U14" s="761"/>
      <c r="V14" s="761"/>
    </row>
    <row r="15" spans="1:22">
      <c r="A15" s="758" t="s">
        <v>46</v>
      </c>
      <c r="B15" s="750">
        <v>1</v>
      </c>
      <c r="C15" s="751">
        <v>1302</v>
      </c>
      <c r="D15" s="243" t="s">
        <v>716</v>
      </c>
      <c r="E15" s="753">
        <v>15624</v>
      </c>
      <c r="F15" s="754">
        <v>3300</v>
      </c>
      <c r="G15" s="754">
        <v>900</v>
      </c>
      <c r="H15" s="754">
        <v>3000</v>
      </c>
      <c r="I15" s="755"/>
      <c r="J15" s="755"/>
      <c r="K15" s="755"/>
      <c r="L15" s="755"/>
      <c r="M15" s="756"/>
      <c r="N15" s="755"/>
      <c r="O15" s="755"/>
      <c r="P15" s="755"/>
      <c r="Q15" s="759">
        <v>1302</v>
      </c>
      <c r="R15" s="760">
        <v>1302</v>
      </c>
      <c r="S15" s="761">
        <v>200</v>
      </c>
      <c r="T15" s="761"/>
      <c r="U15" s="761"/>
      <c r="V15" s="761"/>
    </row>
    <row r="16" spans="1:22" ht="22.5">
      <c r="A16" s="758" t="s">
        <v>63</v>
      </c>
      <c r="B16" s="762">
        <v>1</v>
      </c>
      <c r="C16" s="763">
        <v>5011</v>
      </c>
      <c r="D16" s="243" t="s">
        <v>717</v>
      </c>
      <c r="E16" s="760"/>
      <c r="F16" s="760"/>
      <c r="G16" s="760"/>
      <c r="H16" s="760"/>
      <c r="I16" s="759">
        <v>60132</v>
      </c>
      <c r="J16" s="759"/>
      <c r="K16" s="759"/>
      <c r="L16" s="759">
        <v>27000</v>
      </c>
      <c r="M16" s="764"/>
      <c r="N16" s="760"/>
      <c r="O16" s="760"/>
      <c r="P16" s="760"/>
      <c r="Q16" s="759">
        <v>7011</v>
      </c>
      <c r="R16" s="760">
        <v>7011</v>
      </c>
      <c r="S16" s="761">
        <v>200</v>
      </c>
      <c r="T16" s="761"/>
      <c r="U16" s="761"/>
      <c r="V16" s="761"/>
    </row>
    <row r="17" spans="1:22" ht="22.5">
      <c r="A17" s="758" t="s">
        <v>65</v>
      </c>
      <c r="B17" s="762">
        <v>1</v>
      </c>
      <c r="C17" s="763">
        <v>6500</v>
      </c>
      <c r="D17" s="243" t="s">
        <v>718</v>
      </c>
      <c r="E17" s="760"/>
      <c r="F17" s="760"/>
      <c r="G17" s="760"/>
      <c r="H17" s="760"/>
      <c r="I17" s="759">
        <v>78000</v>
      </c>
      <c r="J17" s="759"/>
      <c r="K17" s="759"/>
      <c r="L17" s="759">
        <v>3000</v>
      </c>
      <c r="M17" s="764"/>
      <c r="N17" s="760"/>
      <c r="O17" s="760"/>
      <c r="P17" s="760"/>
      <c r="Q17" s="759">
        <v>6500</v>
      </c>
      <c r="R17" s="760">
        <v>6500</v>
      </c>
      <c r="S17" s="761">
        <v>200</v>
      </c>
      <c r="T17" s="761"/>
      <c r="U17" s="761"/>
      <c r="V17" s="761"/>
    </row>
    <row r="18" spans="1:22" ht="33.75">
      <c r="A18" s="758" t="s">
        <v>52</v>
      </c>
      <c r="B18" s="762">
        <v>1</v>
      </c>
      <c r="C18" s="763">
        <v>6500</v>
      </c>
      <c r="D18" s="243" t="s">
        <v>718</v>
      </c>
      <c r="E18" s="760"/>
      <c r="F18" s="760"/>
      <c r="G18" s="760"/>
      <c r="H18" s="760"/>
      <c r="I18" s="759">
        <v>78000</v>
      </c>
      <c r="J18" s="759"/>
      <c r="K18" s="759"/>
      <c r="L18" s="759">
        <v>3000</v>
      </c>
      <c r="M18" s="764"/>
      <c r="N18" s="760"/>
      <c r="O18" s="760"/>
      <c r="P18" s="760"/>
      <c r="Q18" s="759">
        <v>6500</v>
      </c>
      <c r="R18" s="760">
        <v>6500</v>
      </c>
      <c r="S18" s="761">
        <v>200</v>
      </c>
      <c r="T18" s="761"/>
      <c r="U18" s="761"/>
      <c r="V18" s="761"/>
    </row>
    <row r="19" spans="1:22" ht="33.75">
      <c r="A19" s="758" t="s">
        <v>54</v>
      </c>
      <c r="B19" s="762">
        <v>1</v>
      </c>
      <c r="C19" s="763">
        <v>6500</v>
      </c>
      <c r="D19" s="243" t="s">
        <v>718</v>
      </c>
      <c r="E19" s="760"/>
      <c r="F19" s="760"/>
      <c r="G19" s="760"/>
      <c r="H19" s="760"/>
      <c r="I19" s="759">
        <v>78000</v>
      </c>
      <c r="J19" s="759"/>
      <c r="K19" s="759"/>
      <c r="L19" s="759">
        <v>3000</v>
      </c>
      <c r="M19" s="764"/>
      <c r="N19" s="760"/>
      <c r="O19" s="760"/>
      <c r="P19" s="760"/>
      <c r="Q19" s="759">
        <v>6500</v>
      </c>
      <c r="R19" s="760">
        <v>6500</v>
      </c>
      <c r="S19" s="761">
        <v>200</v>
      </c>
      <c r="T19" s="761"/>
      <c r="U19" s="761"/>
      <c r="V19" s="761"/>
    </row>
    <row r="20" spans="1:22" ht="22.5">
      <c r="A20" s="758" t="s">
        <v>53</v>
      </c>
      <c r="B20" s="762">
        <v>1</v>
      </c>
      <c r="C20" s="763">
        <v>8000</v>
      </c>
      <c r="D20" s="243" t="s">
        <v>718</v>
      </c>
      <c r="E20" s="760"/>
      <c r="F20" s="760"/>
      <c r="G20" s="760"/>
      <c r="H20" s="760"/>
      <c r="I20" s="759">
        <v>96000</v>
      </c>
      <c r="J20" s="759"/>
      <c r="K20" s="759"/>
      <c r="L20" s="759">
        <v>3000</v>
      </c>
      <c r="M20" s="764"/>
      <c r="N20" s="760"/>
      <c r="O20" s="760"/>
      <c r="P20" s="760"/>
      <c r="Q20" s="759">
        <v>8000</v>
      </c>
      <c r="R20" s="760">
        <v>8000</v>
      </c>
      <c r="S20" s="761">
        <v>200</v>
      </c>
      <c r="T20" s="761"/>
      <c r="U20" s="761"/>
      <c r="V20" s="761"/>
    </row>
    <row r="21" spans="1:22" ht="33.75">
      <c r="A21" s="758" t="s">
        <v>724</v>
      </c>
      <c r="B21" s="762">
        <v>1</v>
      </c>
      <c r="C21" s="763">
        <v>6000</v>
      </c>
      <c r="D21" s="243" t="s">
        <v>718</v>
      </c>
      <c r="E21" s="760"/>
      <c r="F21" s="760"/>
      <c r="G21" s="760"/>
      <c r="H21" s="760"/>
      <c r="I21" s="759">
        <v>72000</v>
      </c>
      <c r="J21" s="759"/>
      <c r="K21" s="759"/>
      <c r="L21" s="759">
        <v>3000</v>
      </c>
      <c r="M21" s="764"/>
      <c r="N21" s="760"/>
      <c r="O21" s="760"/>
      <c r="P21" s="760"/>
      <c r="Q21" s="759">
        <v>6000</v>
      </c>
      <c r="R21" s="760">
        <v>6000</v>
      </c>
      <c r="S21" s="761">
        <v>200</v>
      </c>
      <c r="T21" s="761"/>
      <c r="U21" s="761"/>
      <c r="V21" s="761"/>
    </row>
    <row r="22" spans="1:22" ht="22.5">
      <c r="A22" s="758" t="s">
        <v>725</v>
      </c>
      <c r="B22" s="762">
        <v>1</v>
      </c>
      <c r="C22" s="763">
        <v>8000</v>
      </c>
      <c r="D22" s="243" t="s">
        <v>718</v>
      </c>
      <c r="E22" s="760"/>
      <c r="F22" s="760"/>
      <c r="G22" s="760"/>
      <c r="H22" s="760"/>
      <c r="I22" s="759">
        <v>96000</v>
      </c>
      <c r="J22" s="759"/>
      <c r="K22" s="759"/>
      <c r="L22" s="759">
        <v>3000</v>
      </c>
      <c r="M22" s="764"/>
      <c r="N22" s="760"/>
      <c r="O22" s="760"/>
      <c r="P22" s="760"/>
      <c r="Q22" s="759">
        <v>8000</v>
      </c>
      <c r="R22" s="760">
        <v>8000</v>
      </c>
      <c r="S22" s="761">
        <v>200</v>
      </c>
      <c r="T22" s="761"/>
      <c r="U22" s="761"/>
      <c r="V22" s="761"/>
    </row>
    <row r="23" spans="1:22" ht="33.75">
      <c r="A23" s="758" t="s">
        <v>726</v>
      </c>
      <c r="B23" s="762">
        <v>1</v>
      </c>
      <c r="C23" s="763">
        <v>8000</v>
      </c>
      <c r="D23" s="243" t="s">
        <v>718</v>
      </c>
      <c r="E23" s="760"/>
      <c r="F23" s="760"/>
      <c r="G23" s="760"/>
      <c r="H23" s="760"/>
      <c r="I23" s="759">
        <v>96000</v>
      </c>
      <c r="J23" s="759"/>
      <c r="K23" s="759"/>
      <c r="L23" s="759">
        <v>3000</v>
      </c>
      <c r="M23" s="764"/>
      <c r="N23" s="760"/>
      <c r="O23" s="760"/>
      <c r="P23" s="760"/>
      <c r="Q23" s="759">
        <v>8000</v>
      </c>
      <c r="R23" s="760">
        <v>8000</v>
      </c>
      <c r="S23" s="761">
        <v>200</v>
      </c>
      <c r="T23" s="761"/>
      <c r="U23" s="761"/>
      <c r="V23" s="761"/>
    </row>
    <row r="24" spans="1:22" ht="22.5">
      <c r="A24" s="758" t="s">
        <v>59</v>
      </c>
      <c r="B24" s="762">
        <v>1</v>
      </c>
      <c r="C24" s="763">
        <v>18000</v>
      </c>
      <c r="D24" s="243" t="s">
        <v>717</v>
      </c>
      <c r="E24" s="760"/>
      <c r="F24" s="760"/>
      <c r="G24" s="760"/>
      <c r="H24" s="760"/>
      <c r="I24" s="759"/>
      <c r="J24" s="759">
        <v>216000</v>
      </c>
      <c r="K24" s="759"/>
      <c r="L24" s="759">
        <v>3000</v>
      </c>
      <c r="M24" s="764"/>
      <c r="N24" s="760"/>
      <c r="O24" s="760"/>
      <c r="P24" s="760"/>
      <c r="Q24" s="759">
        <v>18000</v>
      </c>
      <c r="R24" s="760">
        <v>18000</v>
      </c>
      <c r="S24" s="761">
        <v>200</v>
      </c>
      <c r="T24" s="761"/>
      <c r="U24" s="761"/>
      <c r="V24" s="761"/>
    </row>
    <row r="25" spans="1:22" ht="22.5">
      <c r="A25" s="758" t="s">
        <v>62</v>
      </c>
      <c r="B25" s="762">
        <v>1</v>
      </c>
      <c r="C25" s="763">
        <v>6000</v>
      </c>
      <c r="D25" s="243" t="s">
        <v>717</v>
      </c>
      <c r="E25" s="760"/>
      <c r="F25" s="760"/>
      <c r="G25" s="760"/>
      <c r="H25" s="760"/>
      <c r="I25" s="759"/>
      <c r="J25" s="759">
        <v>72000</v>
      </c>
      <c r="K25" s="759"/>
      <c r="L25" s="759">
        <v>3000</v>
      </c>
      <c r="M25" s="764"/>
      <c r="N25" s="760"/>
      <c r="O25" s="760"/>
      <c r="P25" s="760"/>
      <c r="Q25" s="759">
        <v>6000</v>
      </c>
      <c r="R25" s="760">
        <v>6000</v>
      </c>
      <c r="S25" s="761">
        <v>200</v>
      </c>
      <c r="T25" s="761"/>
      <c r="U25" s="761"/>
      <c r="V25" s="761"/>
    </row>
    <row r="26" spans="1:22" ht="45">
      <c r="A26" s="758" t="s">
        <v>727</v>
      </c>
      <c r="B26" s="762">
        <v>1</v>
      </c>
      <c r="C26" s="763">
        <v>21000</v>
      </c>
      <c r="D26" s="243" t="s">
        <v>718</v>
      </c>
      <c r="E26" s="760"/>
      <c r="F26" s="760"/>
      <c r="G26" s="760"/>
      <c r="H26" s="760"/>
      <c r="I26" s="759"/>
      <c r="J26" s="761">
        <v>252000</v>
      </c>
      <c r="K26" s="761">
        <v>4500</v>
      </c>
      <c r="L26" s="761">
        <v>3000</v>
      </c>
      <c r="M26" s="764"/>
      <c r="N26" s="760"/>
      <c r="O26" s="760"/>
      <c r="P26" s="760"/>
      <c r="Q26" s="759">
        <v>21000</v>
      </c>
      <c r="R26" s="760">
        <v>21000</v>
      </c>
      <c r="S26" s="761">
        <v>200</v>
      </c>
      <c r="T26" s="761"/>
      <c r="U26" s="761"/>
      <c r="V26" s="761"/>
    </row>
    <row r="27" spans="1:22" ht="33.75">
      <c r="A27" s="758" t="s">
        <v>728</v>
      </c>
      <c r="B27" s="762">
        <v>1</v>
      </c>
      <c r="C27" s="763">
        <v>13000</v>
      </c>
      <c r="D27" s="243" t="s">
        <v>718</v>
      </c>
      <c r="E27" s="760"/>
      <c r="F27" s="760"/>
      <c r="G27" s="760"/>
      <c r="H27" s="760"/>
      <c r="I27" s="759"/>
      <c r="J27" s="761">
        <v>156000</v>
      </c>
      <c r="K27" s="761">
        <v>4500</v>
      </c>
      <c r="L27" s="761">
        <v>3000</v>
      </c>
      <c r="M27" s="764"/>
      <c r="N27" s="760"/>
      <c r="O27" s="760"/>
      <c r="P27" s="760"/>
      <c r="Q27" s="759">
        <v>13000</v>
      </c>
      <c r="R27" s="760">
        <v>13000</v>
      </c>
      <c r="S27" s="761">
        <v>200</v>
      </c>
      <c r="T27" s="761"/>
      <c r="U27" s="761"/>
      <c r="V27" s="761"/>
    </row>
    <row r="28" spans="1:22" ht="45">
      <c r="A28" s="758" t="s">
        <v>729</v>
      </c>
      <c r="B28" s="762">
        <v>1</v>
      </c>
      <c r="C28" s="763">
        <v>15000</v>
      </c>
      <c r="D28" s="243" t="s">
        <v>718</v>
      </c>
      <c r="E28" s="760"/>
      <c r="F28" s="760"/>
      <c r="G28" s="760"/>
      <c r="H28" s="760"/>
      <c r="I28" s="759"/>
      <c r="J28" s="761">
        <v>180000</v>
      </c>
      <c r="K28" s="761"/>
      <c r="L28" s="761">
        <v>3000</v>
      </c>
      <c r="M28" s="764"/>
      <c r="N28" s="760"/>
      <c r="O28" s="760"/>
      <c r="P28" s="760"/>
      <c r="Q28" s="759">
        <v>15000</v>
      </c>
      <c r="R28" s="760">
        <v>15000</v>
      </c>
      <c r="S28" s="761">
        <v>200</v>
      </c>
      <c r="T28" s="761"/>
      <c r="U28" s="761"/>
      <c r="V28" s="761"/>
    </row>
    <row r="29" spans="1:22" ht="45">
      <c r="A29" s="758" t="s">
        <v>730</v>
      </c>
      <c r="B29" s="401">
        <v>2</v>
      </c>
      <c r="C29" s="765">
        <v>7000</v>
      </c>
      <c r="D29" s="176" t="s">
        <v>718</v>
      </c>
      <c r="E29" s="764"/>
      <c r="F29" s="764"/>
      <c r="G29" s="764"/>
      <c r="H29" s="764"/>
      <c r="I29" s="766"/>
      <c r="J29" s="764"/>
      <c r="K29" s="764"/>
      <c r="L29" s="764"/>
      <c r="M29" s="764">
        <v>168000</v>
      </c>
      <c r="N29" s="764"/>
      <c r="O29" s="764"/>
      <c r="P29" s="764"/>
      <c r="Q29" s="766"/>
      <c r="R29" s="764"/>
      <c r="S29" s="767"/>
      <c r="T29" s="767"/>
      <c r="U29" s="767"/>
      <c r="V29" s="767"/>
    </row>
    <row r="30" spans="1:22" ht="56.25">
      <c r="A30" s="758" t="s">
        <v>575</v>
      </c>
      <c r="B30" s="762">
        <v>1</v>
      </c>
      <c r="C30" s="763">
        <v>8000</v>
      </c>
      <c r="D30" s="243" t="s">
        <v>718</v>
      </c>
      <c r="E30" s="760"/>
      <c r="F30" s="760"/>
      <c r="G30" s="760"/>
      <c r="H30" s="760"/>
      <c r="I30" s="759"/>
      <c r="J30" s="760"/>
      <c r="K30" s="760"/>
      <c r="L30" s="760"/>
      <c r="M30" s="764">
        <v>96000</v>
      </c>
      <c r="N30" s="760"/>
      <c r="O30" s="760"/>
      <c r="P30" s="760"/>
      <c r="Q30" s="759"/>
      <c r="R30" s="760"/>
      <c r="S30" s="761"/>
      <c r="T30" s="761"/>
      <c r="U30" s="761"/>
      <c r="V30" s="761"/>
    </row>
    <row r="31" spans="1:22" ht="67.5">
      <c r="A31" s="758" t="s">
        <v>731</v>
      </c>
      <c r="B31" s="762">
        <v>1</v>
      </c>
      <c r="C31" s="763">
        <v>15000</v>
      </c>
      <c r="D31" s="243" t="s">
        <v>716</v>
      </c>
      <c r="E31" s="760"/>
      <c r="F31" s="760"/>
      <c r="G31" s="760"/>
      <c r="H31" s="760"/>
      <c r="I31" s="759"/>
      <c r="J31" s="760"/>
      <c r="K31" s="760"/>
      <c r="L31" s="760"/>
      <c r="M31" s="764">
        <v>180000</v>
      </c>
      <c r="N31" s="760"/>
      <c r="O31" s="760"/>
      <c r="P31" s="760"/>
      <c r="Q31" s="759"/>
      <c r="R31" s="760"/>
      <c r="S31" s="761"/>
      <c r="T31" s="761"/>
      <c r="U31" s="761"/>
      <c r="V31" s="761"/>
    </row>
    <row r="32" spans="1:22" ht="33.75">
      <c r="A32" s="758" t="s">
        <v>732</v>
      </c>
      <c r="B32" s="762">
        <v>1</v>
      </c>
      <c r="C32" s="763">
        <v>6000</v>
      </c>
      <c r="D32" s="243" t="s">
        <v>718</v>
      </c>
      <c r="E32" s="760"/>
      <c r="F32" s="760"/>
      <c r="G32" s="760"/>
      <c r="H32" s="760"/>
      <c r="I32" s="759"/>
      <c r="J32" s="760"/>
      <c r="K32" s="760"/>
      <c r="L32" s="760"/>
      <c r="M32" s="764">
        <v>72000</v>
      </c>
      <c r="N32" s="760"/>
      <c r="O32" s="760"/>
      <c r="P32" s="760"/>
      <c r="Q32" s="759"/>
      <c r="R32" s="760"/>
      <c r="S32" s="761"/>
      <c r="T32" s="761"/>
      <c r="U32" s="761"/>
      <c r="V32" s="761"/>
    </row>
    <row r="33" spans="1:22" ht="67.5">
      <c r="A33" s="758" t="s">
        <v>733</v>
      </c>
      <c r="B33" s="768">
        <v>1</v>
      </c>
      <c r="C33" s="769">
        <v>7000</v>
      </c>
      <c r="D33" s="770" t="s">
        <v>718</v>
      </c>
      <c r="E33" s="760"/>
      <c r="F33" s="760"/>
      <c r="G33" s="760"/>
      <c r="H33" s="760"/>
      <c r="I33" s="759"/>
      <c r="J33" s="760"/>
      <c r="K33" s="760"/>
      <c r="L33" s="760"/>
      <c r="M33" s="764">
        <v>84000</v>
      </c>
      <c r="N33" s="760"/>
      <c r="O33" s="760"/>
      <c r="P33" s="760"/>
      <c r="Q33" s="759"/>
      <c r="R33" s="760"/>
      <c r="S33" s="761"/>
      <c r="T33" s="761"/>
      <c r="U33" s="761"/>
      <c r="V33" s="761"/>
    </row>
    <row r="34" spans="1:22" ht="67.5">
      <c r="A34" s="758" t="s">
        <v>734</v>
      </c>
      <c r="B34" s="768">
        <v>1</v>
      </c>
      <c r="C34" s="769">
        <v>7000</v>
      </c>
      <c r="D34" s="770" t="s">
        <v>718</v>
      </c>
      <c r="E34" s="760"/>
      <c r="F34" s="760"/>
      <c r="G34" s="760"/>
      <c r="H34" s="760"/>
      <c r="I34" s="759"/>
      <c r="J34" s="760"/>
      <c r="K34" s="760"/>
      <c r="L34" s="760"/>
      <c r="M34" s="764">
        <v>84000</v>
      </c>
      <c r="N34" s="760"/>
      <c r="O34" s="760"/>
      <c r="P34" s="760"/>
      <c r="Q34" s="759"/>
      <c r="R34" s="760"/>
      <c r="S34" s="761"/>
      <c r="T34" s="761"/>
      <c r="U34" s="761"/>
      <c r="V34" s="761"/>
    </row>
    <row r="35" spans="1:22" ht="67.5">
      <c r="A35" s="758" t="s">
        <v>735</v>
      </c>
      <c r="B35" s="762">
        <v>1</v>
      </c>
      <c r="C35" s="763">
        <v>10000</v>
      </c>
      <c r="D35" s="243" t="s">
        <v>718</v>
      </c>
      <c r="E35" s="760"/>
      <c r="F35" s="760"/>
      <c r="G35" s="760"/>
      <c r="H35" s="760"/>
      <c r="I35" s="759"/>
      <c r="J35" s="760"/>
      <c r="K35" s="760"/>
      <c r="L35" s="760"/>
      <c r="M35" s="764">
        <v>120000</v>
      </c>
      <c r="N35" s="760"/>
      <c r="O35" s="760"/>
      <c r="P35" s="760"/>
      <c r="Q35" s="759"/>
      <c r="R35" s="760"/>
      <c r="S35" s="761"/>
      <c r="T35" s="761"/>
      <c r="U35" s="761"/>
      <c r="V35" s="761"/>
    </row>
    <row r="36" spans="1:22" ht="45">
      <c r="A36" s="758" t="s">
        <v>736</v>
      </c>
      <c r="B36" s="762">
        <v>1</v>
      </c>
      <c r="C36" s="763">
        <v>5000</v>
      </c>
      <c r="D36" s="243" t="s">
        <v>718</v>
      </c>
      <c r="E36" s="760"/>
      <c r="F36" s="760"/>
      <c r="G36" s="760"/>
      <c r="H36" s="760"/>
      <c r="I36" s="759"/>
      <c r="J36" s="760"/>
      <c r="K36" s="760"/>
      <c r="L36" s="760"/>
      <c r="M36" s="764">
        <v>60000</v>
      </c>
      <c r="N36" s="760"/>
      <c r="O36" s="760"/>
      <c r="P36" s="760"/>
      <c r="Q36" s="759"/>
      <c r="R36" s="760"/>
      <c r="S36" s="761"/>
      <c r="T36" s="761"/>
      <c r="U36" s="761"/>
      <c r="V36" s="761"/>
    </row>
    <row r="37" spans="1:22" ht="31.5" customHeight="1">
      <c r="A37" s="758" t="s">
        <v>737</v>
      </c>
      <c r="B37" s="762">
        <v>2</v>
      </c>
      <c r="C37" s="763">
        <v>6000</v>
      </c>
      <c r="D37" s="243" t="s">
        <v>718</v>
      </c>
      <c r="E37" s="760"/>
      <c r="F37" s="760"/>
      <c r="G37" s="760"/>
      <c r="H37" s="760"/>
      <c r="I37" s="759"/>
      <c r="J37" s="760"/>
      <c r="K37" s="760"/>
      <c r="L37" s="760"/>
      <c r="M37" s="764">
        <v>144000</v>
      </c>
      <c r="N37" s="760"/>
      <c r="O37" s="760"/>
      <c r="P37" s="760"/>
      <c r="Q37" s="759"/>
      <c r="R37" s="760"/>
      <c r="S37" s="761"/>
      <c r="T37" s="761"/>
      <c r="U37" s="761"/>
      <c r="V37" s="761"/>
    </row>
    <row r="38" spans="1:22" ht="56.25">
      <c r="A38" s="758" t="s">
        <v>738</v>
      </c>
      <c r="B38" s="762">
        <v>1</v>
      </c>
      <c r="C38" s="763">
        <v>13000</v>
      </c>
      <c r="D38" s="243" t="s">
        <v>718</v>
      </c>
      <c r="E38" s="760"/>
      <c r="F38" s="760"/>
      <c r="G38" s="760"/>
      <c r="H38" s="760"/>
      <c r="I38" s="759"/>
      <c r="J38" s="760"/>
      <c r="K38" s="760"/>
      <c r="L38" s="760"/>
      <c r="M38" s="764">
        <v>156000</v>
      </c>
      <c r="N38" s="760"/>
      <c r="O38" s="760"/>
      <c r="P38" s="760"/>
      <c r="Q38" s="759"/>
      <c r="R38" s="760"/>
      <c r="S38" s="761"/>
      <c r="T38" s="761"/>
      <c r="U38" s="761"/>
      <c r="V38" s="761"/>
    </row>
    <row r="39" spans="1:22" ht="33.75">
      <c r="A39" s="758" t="s">
        <v>739</v>
      </c>
      <c r="B39" s="762">
        <v>1</v>
      </c>
      <c r="C39" s="763">
        <v>4500</v>
      </c>
      <c r="D39" s="243" t="s">
        <v>718</v>
      </c>
      <c r="E39" s="760"/>
      <c r="F39" s="760"/>
      <c r="G39" s="760"/>
      <c r="H39" s="760"/>
      <c r="I39" s="759"/>
      <c r="J39" s="760"/>
      <c r="K39" s="760"/>
      <c r="L39" s="760"/>
      <c r="M39" s="764">
        <v>54000</v>
      </c>
      <c r="N39" s="760"/>
      <c r="O39" s="760"/>
      <c r="P39" s="760"/>
      <c r="Q39" s="759"/>
      <c r="R39" s="760"/>
      <c r="S39" s="761"/>
      <c r="T39" s="761"/>
      <c r="U39" s="761"/>
      <c r="V39" s="761"/>
    </row>
    <row r="40" spans="1:22" ht="56.25">
      <c r="A40" s="758" t="s">
        <v>740</v>
      </c>
      <c r="B40" s="762">
        <v>1</v>
      </c>
      <c r="C40" s="763">
        <v>18000</v>
      </c>
      <c r="D40" s="243" t="s">
        <v>718</v>
      </c>
      <c r="E40" s="760"/>
      <c r="F40" s="760"/>
      <c r="G40" s="760"/>
      <c r="H40" s="760"/>
      <c r="I40" s="759"/>
      <c r="J40" s="760"/>
      <c r="K40" s="760"/>
      <c r="L40" s="760"/>
      <c r="M40" s="764">
        <v>216000</v>
      </c>
      <c r="N40" s="760"/>
      <c r="O40" s="760"/>
      <c r="P40" s="760"/>
      <c r="Q40" s="759"/>
      <c r="R40" s="760"/>
      <c r="S40" s="761"/>
      <c r="T40" s="761"/>
      <c r="U40" s="761"/>
      <c r="V40" s="761"/>
    </row>
    <row r="41" spans="1:22" ht="67.5">
      <c r="A41" s="758" t="s">
        <v>741</v>
      </c>
      <c r="B41" s="762">
        <v>1</v>
      </c>
      <c r="C41" s="763">
        <v>7000</v>
      </c>
      <c r="D41" s="243" t="s">
        <v>716</v>
      </c>
      <c r="E41" s="760"/>
      <c r="F41" s="760"/>
      <c r="G41" s="760"/>
      <c r="H41" s="760"/>
      <c r="I41" s="759"/>
      <c r="J41" s="760"/>
      <c r="K41" s="760"/>
      <c r="L41" s="760"/>
      <c r="M41" s="764">
        <v>84000</v>
      </c>
      <c r="N41" s="760"/>
      <c r="O41" s="760"/>
      <c r="P41" s="760"/>
      <c r="Q41" s="759"/>
      <c r="R41" s="760"/>
      <c r="S41" s="761"/>
      <c r="T41" s="761"/>
      <c r="U41" s="761"/>
      <c r="V41" s="761"/>
    </row>
    <row r="42" spans="1:22" ht="33.75">
      <c r="A42" s="758" t="s">
        <v>742</v>
      </c>
      <c r="B42" s="762">
        <v>1</v>
      </c>
      <c r="C42" s="763">
        <v>4500</v>
      </c>
      <c r="D42" s="243" t="s">
        <v>716</v>
      </c>
      <c r="E42" s="760"/>
      <c r="F42" s="760"/>
      <c r="G42" s="760"/>
      <c r="H42" s="760"/>
      <c r="I42" s="759"/>
      <c r="J42" s="760"/>
      <c r="K42" s="760"/>
      <c r="L42" s="760"/>
      <c r="M42" s="764">
        <v>54000</v>
      </c>
      <c r="N42" s="760"/>
      <c r="O42" s="760"/>
      <c r="P42" s="760"/>
      <c r="Q42" s="759"/>
      <c r="R42" s="760"/>
      <c r="S42" s="761"/>
      <c r="T42" s="761"/>
      <c r="U42" s="761"/>
      <c r="V42" s="761"/>
    </row>
    <row r="43" spans="1:22" ht="56.25">
      <c r="A43" s="758" t="s">
        <v>743</v>
      </c>
      <c r="B43" s="762">
        <v>1</v>
      </c>
      <c r="C43" s="763">
        <v>3500</v>
      </c>
      <c r="D43" s="243" t="s">
        <v>716</v>
      </c>
      <c r="E43" s="760"/>
      <c r="F43" s="760"/>
      <c r="G43" s="760"/>
      <c r="H43" s="760"/>
      <c r="I43" s="759"/>
      <c r="J43" s="760"/>
      <c r="K43" s="760"/>
      <c r="L43" s="760"/>
      <c r="M43" s="764">
        <v>42000</v>
      </c>
      <c r="N43" s="760"/>
      <c r="O43" s="760"/>
      <c r="P43" s="760"/>
      <c r="Q43" s="759"/>
      <c r="R43" s="760"/>
      <c r="S43" s="761"/>
      <c r="T43" s="761"/>
      <c r="U43" s="761"/>
      <c r="V43" s="761"/>
    </row>
    <row r="44" spans="1:22" ht="67.5">
      <c r="A44" s="758" t="s">
        <v>744</v>
      </c>
      <c r="B44" s="762">
        <v>1</v>
      </c>
      <c r="C44" s="763">
        <v>12000</v>
      </c>
      <c r="D44" s="243" t="s">
        <v>716</v>
      </c>
      <c r="E44" s="760"/>
      <c r="F44" s="760"/>
      <c r="G44" s="760"/>
      <c r="H44" s="760"/>
      <c r="I44" s="759"/>
      <c r="J44" s="760"/>
      <c r="K44" s="760"/>
      <c r="L44" s="760"/>
      <c r="M44" s="764">
        <v>144000</v>
      </c>
      <c r="N44" s="760"/>
      <c r="O44" s="760"/>
      <c r="P44" s="760"/>
      <c r="Q44" s="759"/>
      <c r="R44" s="760"/>
      <c r="S44" s="761"/>
      <c r="T44" s="761"/>
      <c r="U44" s="761"/>
      <c r="V44" s="761"/>
    </row>
    <row r="45" spans="1:22" ht="45">
      <c r="A45" s="758" t="s">
        <v>745</v>
      </c>
      <c r="B45" s="762">
        <v>1</v>
      </c>
      <c r="C45" s="763">
        <v>4000</v>
      </c>
      <c r="D45" s="243" t="s">
        <v>716</v>
      </c>
      <c r="E45" s="760"/>
      <c r="F45" s="760"/>
      <c r="G45" s="760"/>
      <c r="H45" s="760"/>
      <c r="I45" s="759"/>
      <c r="J45" s="760"/>
      <c r="K45" s="760"/>
      <c r="L45" s="760"/>
      <c r="M45" s="764">
        <v>48000</v>
      </c>
      <c r="N45" s="760"/>
      <c r="O45" s="760"/>
      <c r="P45" s="760"/>
      <c r="Q45" s="759"/>
      <c r="R45" s="760"/>
      <c r="S45" s="761"/>
      <c r="T45" s="761"/>
      <c r="U45" s="761"/>
      <c r="V45" s="761"/>
    </row>
    <row r="46" spans="1:22" ht="56.25">
      <c r="A46" s="758" t="s">
        <v>746</v>
      </c>
      <c r="B46" s="762">
        <v>3</v>
      </c>
      <c r="C46" s="763">
        <v>4000</v>
      </c>
      <c r="D46" s="243" t="s">
        <v>716</v>
      </c>
      <c r="E46" s="760"/>
      <c r="F46" s="760"/>
      <c r="G46" s="760"/>
      <c r="H46" s="760"/>
      <c r="I46" s="759"/>
      <c r="J46" s="760"/>
      <c r="K46" s="760"/>
      <c r="L46" s="760"/>
      <c r="M46" s="764">
        <v>144000</v>
      </c>
      <c r="N46" s="760"/>
      <c r="O46" s="760"/>
      <c r="P46" s="760"/>
      <c r="Q46" s="759"/>
      <c r="R46" s="760"/>
      <c r="S46" s="761"/>
      <c r="T46" s="761"/>
      <c r="U46" s="761"/>
      <c r="V46" s="761"/>
    </row>
    <row r="47" spans="1:22" ht="45">
      <c r="A47" s="758" t="s">
        <v>747</v>
      </c>
      <c r="B47" s="762">
        <v>1</v>
      </c>
      <c r="C47" s="763">
        <v>5200</v>
      </c>
      <c r="D47" s="243" t="s">
        <v>716</v>
      </c>
      <c r="E47" s="760"/>
      <c r="F47" s="760"/>
      <c r="G47" s="760"/>
      <c r="H47" s="760"/>
      <c r="I47" s="759"/>
      <c r="J47" s="760"/>
      <c r="K47" s="760"/>
      <c r="L47" s="760"/>
      <c r="M47" s="764">
        <v>62400</v>
      </c>
      <c r="N47" s="760"/>
      <c r="O47" s="760"/>
      <c r="P47" s="760"/>
      <c r="Q47" s="759"/>
      <c r="R47" s="760"/>
      <c r="S47" s="761"/>
      <c r="T47" s="761"/>
      <c r="U47" s="761"/>
      <c r="V47" s="761"/>
    </row>
    <row r="48" spans="1:22" ht="33.75">
      <c r="A48" s="758" t="s">
        <v>748</v>
      </c>
      <c r="B48" s="762">
        <v>7</v>
      </c>
      <c r="C48" s="763">
        <v>4000</v>
      </c>
      <c r="D48" s="243" t="s">
        <v>716</v>
      </c>
      <c r="E48" s="760"/>
      <c r="F48" s="760"/>
      <c r="G48" s="760"/>
      <c r="H48" s="760"/>
      <c r="I48" s="759"/>
      <c r="J48" s="760"/>
      <c r="K48" s="760"/>
      <c r="L48" s="760"/>
      <c r="M48" s="764">
        <v>336000</v>
      </c>
      <c r="N48" s="760"/>
      <c r="O48" s="760"/>
      <c r="P48" s="760"/>
      <c r="Q48" s="759"/>
      <c r="R48" s="760"/>
      <c r="S48" s="761"/>
      <c r="T48" s="761"/>
      <c r="U48" s="761"/>
      <c r="V48" s="761"/>
    </row>
    <row r="49" spans="1:22" ht="45">
      <c r="A49" s="758" t="s">
        <v>749</v>
      </c>
      <c r="B49" s="762">
        <v>1</v>
      </c>
      <c r="C49" s="763">
        <v>4000</v>
      </c>
      <c r="D49" s="243" t="s">
        <v>716</v>
      </c>
      <c r="E49" s="760"/>
      <c r="F49" s="760"/>
      <c r="G49" s="760"/>
      <c r="H49" s="760"/>
      <c r="I49" s="759"/>
      <c r="J49" s="760"/>
      <c r="K49" s="760"/>
      <c r="L49" s="760"/>
      <c r="M49" s="764">
        <v>48000</v>
      </c>
      <c r="N49" s="760"/>
      <c r="O49" s="760"/>
      <c r="P49" s="760"/>
      <c r="Q49" s="759"/>
      <c r="R49" s="760"/>
      <c r="S49" s="761"/>
      <c r="T49" s="761"/>
      <c r="U49" s="761"/>
      <c r="V49" s="761"/>
    </row>
    <row r="50" spans="1:22" ht="45">
      <c r="A50" s="758" t="s">
        <v>750</v>
      </c>
      <c r="B50" s="762">
        <v>1</v>
      </c>
      <c r="C50" s="763">
        <v>11000</v>
      </c>
      <c r="D50" s="243" t="s">
        <v>716</v>
      </c>
      <c r="E50" s="760"/>
      <c r="F50" s="760"/>
      <c r="G50" s="760"/>
      <c r="H50" s="760"/>
      <c r="I50" s="759"/>
      <c r="J50" s="760"/>
      <c r="K50" s="760"/>
      <c r="L50" s="760"/>
      <c r="M50" s="764">
        <v>132000</v>
      </c>
      <c r="N50" s="760"/>
      <c r="O50" s="760"/>
      <c r="P50" s="760"/>
      <c r="Q50" s="759"/>
      <c r="R50" s="760"/>
      <c r="S50" s="761"/>
      <c r="T50" s="761"/>
      <c r="U50" s="761"/>
      <c r="V50" s="761"/>
    </row>
    <row r="51" spans="1:22" ht="45">
      <c r="A51" s="758" t="s">
        <v>751</v>
      </c>
      <c r="B51" s="762">
        <v>1</v>
      </c>
      <c r="C51" s="763">
        <v>2000</v>
      </c>
      <c r="D51" s="243" t="s">
        <v>716</v>
      </c>
      <c r="E51" s="760"/>
      <c r="F51" s="760"/>
      <c r="G51" s="760"/>
      <c r="H51" s="760"/>
      <c r="I51" s="759"/>
      <c r="J51" s="760"/>
      <c r="K51" s="760"/>
      <c r="L51" s="760"/>
      <c r="M51" s="764">
        <v>24000</v>
      </c>
      <c r="N51" s="760"/>
      <c r="O51" s="760"/>
      <c r="P51" s="760"/>
      <c r="Q51" s="759"/>
      <c r="R51" s="760"/>
      <c r="S51" s="761"/>
      <c r="T51" s="761"/>
      <c r="U51" s="761"/>
      <c r="V51" s="761"/>
    </row>
    <row r="52" spans="1:22" ht="45">
      <c r="A52" s="758" t="s">
        <v>751</v>
      </c>
      <c r="B52" s="762">
        <v>1</v>
      </c>
      <c r="C52" s="763">
        <v>6000</v>
      </c>
      <c r="D52" s="243" t="s">
        <v>716</v>
      </c>
      <c r="E52" s="760"/>
      <c r="F52" s="760"/>
      <c r="G52" s="760"/>
      <c r="H52" s="760"/>
      <c r="I52" s="759"/>
      <c r="J52" s="760"/>
      <c r="K52" s="760"/>
      <c r="L52" s="760"/>
      <c r="M52" s="764">
        <v>72000</v>
      </c>
      <c r="N52" s="760"/>
      <c r="O52" s="760"/>
      <c r="P52" s="760"/>
      <c r="Q52" s="759"/>
      <c r="R52" s="760"/>
      <c r="S52" s="761"/>
      <c r="T52" s="761"/>
      <c r="U52" s="761"/>
      <c r="V52" s="761"/>
    </row>
    <row r="53" spans="1:22" ht="56.25">
      <c r="A53" s="758" t="s">
        <v>752</v>
      </c>
      <c r="B53" s="762">
        <v>1</v>
      </c>
      <c r="C53" s="763">
        <v>7000</v>
      </c>
      <c r="D53" s="243" t="s">
        <v>716</v>
      </c>
      <c r="E53" s="760"/>
      <c r="F53" s="760"/>
      <c r="G53" s="760"/>
      <c r="H53" s="760"/>
      <c r="I53" s="759"/>
      <c r="J53" s="760"/>
      <c r="K53" s="760"/>
      <c r="L53" s="760"/>
      <c r="M53" s="764">
        <v>84000</v>
      </c>
      <c r="N53" s="760"/>
      <c r="O53" s="760"/>
      <c r="P53" s="760"/>
      <c r="Q53" s="759"/>
      <c r="R53" s="760"/>
      <c r="S53" s="761"/>
      <c r="T53" s="761"/>
      <c r="U53" s="761"/>
      <c r="V53" s="761"/>
    </row>
    <row r="54" spans="1:22" ht="56.25">
      <c r="A54" s="758" t="s">
        <v>753</v>
      </c>
      <c r="B54" s="762">
        <v>1</v>
      </c>
      <c r="C54" s="763">
        <v>5000</v>
      </c>
      <c r="D54" s="243" t="s">
        <v>716</v>
      </c>
      <c r="E54" s="760"/>
      <c r="F54" s="760"/>
      <c r="G54" s="760"/>
      <c r="H54" s="760"/>
      <c r="I54" s="759"/>
      <c r="J54" s="760"/>
      <c r="K54" s="760"/>
      <c r="L54" s="760"/>
      <c r="M54" s="764">
        <v>60000</v>
      </c>
      <c r="N54" s="760"/>
      <c r="O54" s="760"/>
      <c r="P54" s="760"/>
      <c r="Q54" s="759"/>
      <c r="R54" s="760"/>
      <c r="S54" s="761"/>
      <c r="T54" s="761"/>
      <c r="U54" s="761"/>
      <c r="V54" s="761"/>
    </row>
    <row r="55" spans="1:22" ht="33.75">
      <c r="A55" s="758" t="s">
        <v>754</v>
      </c>
      <c r="B55" s="762">
        <v>1</v>
      </c>
      <c r="C55" s="763">
        <v>13000</v>
      </c>
      <c r="D55" s="243" t="s">
        <v>716</v>
      </c>
      <c r="E55" s="760"/>
      <c r="F55" s="760"/>
      <c r="G55" s="760"/>
      <c r="H55" s="760"/>
      <c r="I55" s="759"/>
      <c r="J55" s="760"/>
      <c r="K55" s="760"/>
      <c r="L55" s="760"/>
      <c r="M55" s="764">
        <v>156000</v>
      </c>
      <c r="N55" s="760"/>
      <c r="O55" s="760"/>
      <c r="P55" s="760"/>
      <c r="Q55" s="759"/>
      <c r="R55" s="760"/>
      <c r="S55" s="761"/>
      <c r="T55" s="761"/>
      <c r="U55" s="761"/>
      <c r="V55" s="761"/>
    </row>
    <row r="56" spans="1:22" ht="22.5">
      <c r="A56" s="758" t="s">
        <v>755</v>
      </c>
      <c r="B56" s="401">
        <v>43</v>
      </c>
      <c r="C56" s="771">
        <v>74.849999999999994</v>
      </c>
      <c r="D56" s="176" t="s">
        <v>716</v>
      </c>
      <c r="E56" s="764"/>
      <c r="F56" s="764"/>
      <c r="G56" s="764"/>
      <c r="H56" s="764"/>
      <c r="I56" s="766"/>
      <c r="J56" s="764"/>
      <c r="K56" s="764"/>
      <c r="L56" s="764"/>
      <c r="M56" s="764"/>
      <c r="N56" s="766">
        <v>1174770.75</v>
      </c>
      <c r="O56" s="766">
        <v>7980</v>
      </c>
      <c r="P56" s="766">
        <v>129000</v>
      </c>
      <c r="Q56" s="766">
        <v>96556.499999999985</v>
      </c>
      <c r="R56" s="764">
        <v>96556.499999999985</v>
      </c>
      <c r="S56" s="767">
        <v>8600</v>
      </c>
      <c r="T56" s="767"/>
      <c r="U56" s="767"/>
      <c r="V56" s="767"/>
    </row>
    <row r="57" spans="1:22" ht="22.5">
      <c r="A57" s="758" t="s">
        <v>756</v>
      </c>
      <c r="B57" s="762">
        <v>10</v>
      </c>
      <c r="C57" s="763">
        <v>68</v>
      </c>
      <c r="D57" s="243" t="s">
        <v>717</v>
      </c>
      <c r="E57" s="760"/>
      <c r="F57" s="760"/>
      <c r="G57" s="760"/>
      <c r="H57" s="760"/>
      <c r="I57" s="759"/>
      <c r="J57" s="760"/>
      <c r="K57" s="760"/>
      <c r="L57" s="760"/>
      <c r="M57" s="764"/>
      <c r="N57" s="760">
        <v>248200</v>
      </c>
      <c r="O57" s="759">
        <v>1320</v>
      </c>
      <c r="P57" s="759">
        <v>30000</v>
      </c>
      <c r="Q57" s="759">
        <v>20400</v>
      </c>
      <c r="R57" s="760">
        <v>20400</v>
      </c>
      <c r="S57" s="761">
        <v>2000</v>
      </c>
      <c r="T57" s="761"/>
      <c r="U57" s="761"/>
      <c r="V57" s="761"/>
    </row>
    <row r="58" spans="1:22" ht="33.75">
      <c r="A58" s="758" t="s">
        <v>757</v>
      </c>
      <c r="B58" s="762">
        <v>2</v>
      </c>
      <c r="C58" s="772">
        <v>584</v>
      </c>
      <c r="D58" s="243" t="s">
        <v>716</v>
      </c>
      <c r="E58" s="753">
        <v>14016</v>
      </c>
      <c r="F58" s="759"/>
      <c r="G58" s="759">
        <v>600</v>
      </c>
      <c r="H58" s="759">
        <v>12600</v>
      </c>
      <c r="I58" s="759"/>
      <c r="J58" s="760"/>
      <c r="K58" s="760"/>
      <c r="L58" s="760"/>
      <c r="M58" s="764"/>
      <c r="N58" s="760"/>
      <c r="O58" s="760"/>
      <c r="P58" s="760"/>
      <c r="Q58" s="759">
        <v>1168</v>
      </c>
      <c r="R58" s="760">
        <v>1168</v>
      </c>
      <c r="S58" s="761">
        <v>400</v>
      </c>
      <c r="T58" s="761"/>
      <c r="U58" s="761"/>
      <c r="V58" s="761"/>
    </row>
    <row r="59" spans="1:22" ht="22.5">
      <c r="A59" s="758" t="s">
        <v>758</v>
      </c>
      <c r="B59" s="762">
        <v>1</v>
      </c>
      <c r="C59" s="772">
        <v>1105</v>
      </c>
      <c r="D59" s="243" t="s">
        <v>716</v>
      </c>
      <c r="E59" s="753">
        <v>13260</v>
      </c>
      <c r="F59" s="759"/>
      <c r="G59" s="759">
        <v>600</v>
      </c>
      <c r="H59" s="759">
        <v>7800</v>
      </c>
      <c r="I59" s="759"/>
      <c r="J59" s="760"/>
      <c r="K59" s="760"/>
      <c r="L59" s="760"/>
      <c r="M59" s="764"/>
      <c r="N59" s="760"/>
      <c r="O59" s="760"/>
      <c r="P59" s="760"/>
      <c r="Q59" s="759">
        <v>1105</v>
      </c>
      <c r="R59" s="760">
        <v>1105</v>
      </c>
      <c r="S59" s="761">
        <v>200</v>
      </c>
      <c r="T59" s="761"/>
      <c r="U59" s="761"/>
      <c r="V59" s="761"/>
    </row>
    <row r="60" spans="1:22">
      <c r="A60" s="758" t="s">
        <v>759</v>
      </c>
      <c r="B60" s="762">
        <v>1</v>
      </c>
      <c r="C60" s="772">
        <v>1192</v>
      </c>
      <c r="D60" s="243" t="s">
        <v>716</v>
      </c>
      <c r="E60" s="753">
        <v>14304</v>
      </c>
      <c r="F60" s="759"/>
      <c r="G60" s="759"/>
      <c r="H60" s="759">
        <v>7800</v>
      </c>
      <c r="I60" s="759"/>
      <c r="J60" s="760"/>
      <c r="K60" s="760"/>
      <c r="L60" s="760"/>
      <c r="M60" s="764"/>
      <c r="N60" s="760"/>
      <c r="O60" s="760"/>
      <c r="P60" s="760"/>
      <c r="Q60" s="759">
        <v>1192</v>
      </c>
      <c r="R60" s="760">
        <v>1192</v>
      </c>
      <c r="S60" s="761">
        <v>200</v>
      </c>
      <c r="T60" s="761"/>
      <c r="U60" s="761"/>
      <c r="V60" s="761"/>
    </row>
    <row r="61" spans="1:22">
      <c r="A61" s="758" t="s">
        <v>47</v>
      </c>
      <c r="B61" s="762">
        <v>1</v>
      </c>
      <c r="C61" s="772">
        <v>1381</v>
      </c>
      <c r="D61" s="243" t="s">
        <v>716</v>
      </c>
      <c r="E61" s="753">
        <v>16572</v>
      </c>
      <c r="F61" s="759"/>
      <c r="G61" s="759"/>
      <c r="H61" s="759">
        <v>7800</v>
      </c>
      <c r="I61" s="759"/>
      <c r="J61" s="760"/>
      <c r="K61" s="760"/>
      <c r="L61" s="760"/>
      <c r="M61" s="764"/>
      <c r="N61" s="760"/>
      <c r="O61" s="760"/>
      <c r="P61" s="760"/>
      <c r="Q61" s="759">
        <v>1381</v>
      </c>
      <c r="R61" s="760">
        <v>1381</v>
      </c>
      <c r="S61" s="761">
        <v>200</v>
      </c>
      <c r="T61" s="761"/>
      <c r="U61" s="761"/>
      <c r="V61" s="761"/>
    </row>
    <row r="62" spans="1:22" ht="22.5">
      <c r="A62" s="758" t="s">
        <v>760</v>
      </c>
      <c r="B62" s="762">
        <v>1</v>
      </c>
      <c r="C62" s="772">
        <v>1074</v>
      </c>
      <c r="D62" s="243" t="s">
        <v>716</v>
      </c>
      <c r="E62" s="759">
        <v>12888</v>
      </c>
      <c r="F62" s="759">
        <v>1100</v>
      </c>
      <c r="G62" s="759">
        <v>500</v>
      </c>
      <c r="H62" s="759">
        <v>4600</v>
      </c>
      <c r="I62" s="759"/>
      <c r="J62" s="760"/>
      <c r="K62" s="760"/>
      <c r="L62" s="760"/>
      <c r="M62" s="764"/>
      <c r="N62" s="760"/>
      <c r="O62" s="760"/>
      <c r="P62" s="760"/>
      <c r="Q62" s="759">
        <v>1074</v>
      </c>
      <c r="R62" s="760">
        <v>1074</v>
      </c>
      <c r="S62" s="761">
        <v>200</v>
      </c>
      <c r="T62" s="761"/>
      <c r="U62" s="761"/>
      <c r="V62" s="761"/>
    </row>
    <row r="63" spans="1:22" ht="22.5">
      <c r="A63" s="758" t="s">
        <v>761</v>
      </c>
      <c r="B63" s="762">
        <v>8</v>
      </c>
      <c r="C63" s="772">
        <v>68</v>
      </c>
      <c r="D63" s="243" t="s">
        <v>716</v>
      </c>
      <c r="E63" s="760"/>
      <c r="F63" s="760"/>
      <c r="G63" s="760"/>
      <c r="H63" s="760"/>
      <c r="I63" s="759"/>
      <c r="J63" s="760"/>
      <c r="K63" s="760"/>
      <c r="L63" s="760"/>
      <c r="M63" s="764"/>
      <c r="N63" s="760">
        <v>198560</v>
      </c>
      <c r="O63" s="759">
        <v>2400</v>
      </c>
      <c r="P63" s="759">
        <v>22500</v>
      </c>
      <c r="Q63" s="759">
        <v>16320</v>
      </c>
      <c r="R63" s="760">
        <v>16320</v>
      </c>
      <c r="S63" s="761">
        <v>1600</v>
      </c>
      <c r="T63" s="761"/>
      <c r="U63" s="761"/>
      <c r="V63" s="761"/>
    </row>
    <row r="64" spans="1:22" ht="22.5">
      <c r="A64" s="758" t="s">
        <v>762</v>
      </c>
      <c r="B64" s="762">
        <v>2</v>
      </c>
      <c r="C64" s="772">
        <v>813.75</v>
      </c>
      <c r="D64" s="243" t="s">
        <v>716</v>
      </c>
      <c r="E64" s="753">
        <v>19530</v>
      </c>
      <c r="F64" s="759"/>
      <c r="G64" s="759">
        <v>750</v>
      </c>
      <c r="H64" s="759">
        <v>13350</v>
      </c>
      <c r="I64" s="759"/>
      <c r="J64" s="760"/>
      <c r="K64" s="760"/>
      <c r="L64" s="760"/>
      <c r="M64" s="764"/>
      <c r="N64" s="760"/>
      <c r="O64" s="760"/>
      <c r="P64" s="760"/>
      <c r="Q64" s="759">
        <v>1627.5</v>
      </c>
      <c r="R64" s="760">
        <v>1627.5</v>
      </c>
      <c r="S64" s="761">
        <v>400</v>
      </c>
      <c r="T64" s="761"/>
      <c r="U64" s="761"/>
      <c r="V64" s="761"/>
    </row>
    <row r="65" spans="1:23" ht="33.75">
      <c r="A65" s="758" t="s">
        <v>757</v>
      </c>
      <c r="B65" s="762">
        <v>2</v>
      </c>
      <c r="C65" s="772">
        <v>584</v>
      </c>
      <c r="D65" s="243" t="s">
        <v>716</v>
      </c>
      <c r="E65" s="753">
        <v>14016</v>
      </c>
      <c r="F65" s="759"/>
      <c r="G65" s="759">
        <v>600</v>
      </c>
      <c r="H65" s="759">
        <v>12600</v>
      </c>
      <c r="I65" s="759"/>
      <c r="J65" s="760"/>
      <c r="K65" s="760"/>
      <c r="L65" s="760"/>
      <c r="M65" s="764"/>
      <c r="N65" s="760"/>
      <c r="O65" s="760"/>
      <c r="P65" s="760"/>
      <c r="Q65" s="759">
        <v>1168</v>
      </c>
      <c r="R65" s="760">
        <v>1168</v>
      </c>
      <c r="S65" s="761">
        <v>400</v>
      </c>
      <c r="T65" s="761"/>
      <c r="U65" s="761"/>
      <c r="V65" s="761"/>
    </row>
    <row r="66" spans="1:23" ht="22.5">
      <c r="A66" s="758" t="s">
        <v>761</v>
      </c>
      <c r="B66" s="762">
        <v>10</v>
      </c>
      <c r="C66" s="772">
        <v>68</v>
      </c>
      <c r="D66" s="243" t="s">
        <v>716</v>
      </c>
      <c r="E66" s="760"/>
      <c r="F66" s="760"/>
      <c r="G66" s="760"/>
      <c r="H66" s="760"/>
      <c r="I66" s="759"/>
      <c r="J66" s="760"/>
      <c r="K66" s="760"/>
      <c r="L66" s="760"/>
      <c r="M66" s="764"/>
      <c r="N66" s="760">
        <v>248200</v>
      </c>
      <c r="O66" s="759">
        <v>3900</v>
      </c>
      <c r="P66" s="759">
        <v>24750</v>
      </c>
      <c r="Q66" s="759">
        <v>20400</v>
      </c>
      <c r="R66" s="760">
        <v>20400</v>
      </c>
      <c r="S66" s="761">
        <v>2000</v>
      </c>
      <c r="T66" s="761"/>
      <c r="U66" s="761"/>
      <c r="V66" s="761"/>
    </row>
    <row r="67" spans="1:23" ht="33.75">
      <c r="A67" s="758" t="s">
        <v>757</v>
      </c>
      <c r="B67" s="762">
        <v>1</v>
      </c>
      <c r="C67" s="772">
        <v>584</v>
      </c>
      <c r="D67" s="243" t="s">
        <v>717</v>
      </c>
      <c r="E67" s="773">
        <v>7008</v>
      </c>
      <c r="F67" s="759"/>
      <c r="G67" s="759">
        <v>300</v>
      </c>
      <c r="H67" s="759">
        <v>6300</v>
      </c>
      <c r="I67" s="759"/>
      <c r="J67" s="760"/>
      <c r="K67" s="760"/>
      <c r="L67" s="760"/>
      <c r="M67" s="764"/>
      <c r="N67" s="760"/>
      <c r="O67" s="759"/>
      <c r="P67" s="759"/>
      <c r="Q67" s="766">
        <v>584</v>
      </c>
      <c r="R67" s="760">
        <v>584</v>
      </c>
      <c r="S67" s="761">
        <v>200</v>
      </c>
      <c r="T67" s="761"/>
      <c r="U67" s="761"/>
      <c r="V67" s="761"/>
    </row>
    <row r="68" spans="1:23" ht="33.75">
      <c r="A68" s="758" t="s">
        <v>763</v>
      </c>
      <c r="B68" s="762">
        <v>1</v>
      </c>
      <c r="C68" s="772">
        <v>730</v>
      </c>
      <c r="D68" s="243" t="s">
        <v>716</v>
      </c>
      <c r="E68" s="753">
        <v>8760</v>
      </c>
      <c r="F68" s="759"/>
      <c r="G68" s="759">
        <v>562.2600000000001</v>
      </c>
      <c r="H68" s="759">
        <v>6675</v>
      </c>
      <c r="I68" s="759"/>
      <c r="J68" s="760"/>
      <c r="K68" s="760"/>
      <c r="L68" s="760"/>
      <c r="M68" s="764"/>
      <c r="N68" s="760"/>
      <c r="O68" s="760"/>
      <c r="P68" s="760"/>
      <c r="Q68" s="759">
        <v>730</v>
      </c>
      <c r="R68" s="760">
        <v>730</v>
      </c>
      <c r="S68" s="761">
        <v>200</v>
      </c>
      <c r="T68" s="761"/>
      <c r="U68" s="761"/>
      <c r="V68" s="761"/>
    </row>
    <row r="69" spans="1:23" ht="33.75">
      <c r="A69" s="758" t="s">
        <v>189</v>
      </c>
      <c r="B69" s="762">
        <v>1</v>
      </c>
      <c r="C69" s="772">
        <v>1135</v>
      </c>
      <c r="D69" s="243" t="s">
        <v>716</v>
      </c>
      <c r="E69" s="753">
        <v>13620</v>
      </c>
      <c r="F69" s="759"/>
      <c r="G69" s="759">
        <v>475</v>
      </c>
      <c r="H69" s="759">
        <v>7800</v>
      </c>
      <c r="I69" s="759"/>
      <c r="J69" s="760"/>
      <c r="K69" s="760"/>
      <c r="L69" s="760"/>
      <c r="M69" s="764"/>
      <c r="N69" s="760"/>
      <c r="O69" s="760"/>
      <c r="P69" s="760"/>
      <c r="Q69" s="759">
        <v>1135</v>
      </c>
      <c r="R69" s="760">
        <v>1135</v>
      </c>
      <c r="S69" s="761">
        <v>200</v>
      </c>
      <c r="T69" s="761"/>
      <c r="U69" s="761"/>
      <c r="V69" s="761"/>
    </row>
    <row r="70" spans="1:23">
      <c r="A70" s="758" t="s">
        <v>759</v>
      </c>
      <c r="B70" s="762">
        <v>1</v>
      </c>
      <c r="C70" s="772">
        <v>1192</v>
      </c>
      <c r="D70" s="243" t="s">
        <v>716</v>
      </c>
      <c r="E70" s="753">
        <v>14304</v>
      </c>
      <c r="F70" s="759"/>
      <c r="G70" s="759"/>
      <c r="H70" s="759">
        <v>7800</v>
      </c>
      <c r="I70" s="759"/>
      <c r="J70" s="760"/>
      <c r="K70" s="760"/>
      <c r="L70" s="760"/>
      <c r="M70" s="764"/>
      <c r="N70" s="760"/>
      <c r="O70" s="760"/>
      <c r="P70" s="760"/>
      <c r="Q70" s="759">
        <v>1192</v>
      </c>
      <c r="R70" s="760">
        <v>1192</v>
      </c>
      <c r="S70" s="761">
        <v>200</v>
      </c>
      <c r="T70" s="761"/>
      <c r="U70" s="761"/>
      <c r="V70" s="761"/>
    </row>
    <row r="71" spans="1:23">
      <c r="A71" s="758" t="s">
        <v>764</v>
      </c>
      <c r="B71" s="762">
        <v>1</v>
      </c>
      <c r="C71" s="772">
        <v>1381</v>
      </c>
      <c r="D71" s="243" t="s">
        <v>716</v>
      </c>
      <c r="E71" s="753">
        <v>16572</v>
      </c>
      <c r="F71" s="759"/>
      <c r="G71" s="759"/>
      <c r="H71" s="759">
        <v>7800</v>
      </c>
      <c r="I71" s="759"/>
      <c r="J71" s="760"/>
      <c r="K71" s="760"/>
      <c r="L71" s="760"/>
      <c r="M71" s="764"/>
      <c r="N71" s="760"/>
      <c r="O71" s="760"/>
      <c r="P71" s="760"/>
      <c r="Q71" s="759">
        <v>1381</v>
      </c>
      <c r="R71" s="760">
        <v>1381</v>
      </c>
      <c r="S71" s="761">
        <v>200</v>
      </c>
      <c r="T71" s="761"/>
      <c r="U71" s="761"/>
      <c r="V71" s="761"/>
    </row>
    <row r="72" spans="1:23" ht="22.5">
      <c r="A72" s="758" t="s">
        <v>765</v>
      </c>
      <c r="B72" s="762">
        <v>4</v>
      </c>
      <c r="C72" s="772">
        <v>74.849999999999994</v>
      </c>
      <c r="D72" s="243" t="s">
        <v>716</v>
      </c>
      <c r="E72" s="760"/>
      <c r="F72" s="760"/>
      <c r="G72" s="760"/>
      <c r="H72" s="760"/>
      <c r="I72" s="759"/>
      <c r="J72" s="760"/>
      <c r="K72" s="760"/>
      <c r="L72" s="760"/>
      <c r="M72" s="764"/>
      <c r="N72" s="759">
        <v>109281</v>
      </c>
      <c r="O72" s="759">
        <v>2220</v>
      </c>
      <c r="P72" s="759">
        <v>35250</v>
      </c>
      <c r="Q72" s="759">
        <v>8982</v>
      </c>
      <c r="R72" s="760">
        <v>8982</v>
      </c>
      <c r="S72" s="761">
        <v>800</v>
      </c>
      <c r="T72" s="761"/>
      <c r="U72" s="761"/>
      <c r="V72" s="761"/>
    </row>
    <row r="73" spans="1:23" ht="22.5">
      <c r="A73" s="758" t="s">
        <v>761</v>
      </c>
      <c r="B73" s="762">
        <v>6</v>
      </c>
      <c r="C73" s="772">
        <v>68</v>
      </c>
      <c r="D73" s="243" t="s">
        <v>716</v>
      </c>
      <c r="E73" s="760"/>
      <c r="F73" s="760"/>
      <c r="G73" s="760"/>
      <c r="H73" s="760"/>
      <c r="I73" s="759"/>
      <c r="J73" s="760"/>
      <c r="K73" s="760"/>
      <c r="L73" s="760"/>
      <c r="M73" s="764"/>
      <c r="N73" s="760">
        <v>148920</v>
      </c>
      <c r="O73" s="759">
        <v>840</v>
      </c>
      <c r="P73" s="759">
        <v>15000</v>
      </c>
      <c r="Q73" s="759">
        <v>12240</v>
      </c>
      <c r="R73" s="760">
        <v>12240</v>
      </c>
      <c r="S73" s="761">
        <v>1200</v>
      </c>
      <c r="T73" s="761"/>
      <c r="U73" s="761"/>
      <c r="V73" s="761"/>
    </row>
    <row r="74" spans="1:23" ht="33.75">
      <c r="A74" s="758" t="s">
        <v>189</v>
      </c>
      <c r="B74" s="762">
        <v>1</v>
      </c>
      <c r="C74" s="772">
        <v>1135</v>
      </c>
      <c r="D74" s="243" t="s">
        <v>716</v>
      </c>
      <c r="E74" s="753">
        <v>13620</v>
      </c>
      <c r="F74" s="759"/>
      <c r="G74" s="759">
        <v>475</v>
      </c>
      <c r="H74" s="759">
        <v>7800</v>
      </c>
      <c r="I74" s="759"/>
      <c r="J74" s="760"/>
      <c r="K74" s="760"/>
      <c r="L74" s="760"/>
      <c r="M74" s="764"/>
      <c r="N74" s="760"/>
      <c r="O74" s="760"/>
      <c r="P74" s="760"/>
      <c r="Q74" s="759">
        <v>1135</v>
      </c>
      <c r="R74" s="760">
        <v>1135</v>
      </c>
      <c r="S74" s="761">
        <v>200</v>
      </c>
      <c r="T74" s="761"/>
      <c r="U74" s="761"/>
      <c r="V74" s="761"/>
    </row>
    <row r="75" spans="1:23">
      <c r="A75" s="758" t="s">
        <v>46</v>
      </c>
      <c r="B75" s="762">
        <v>1</v>
      </c>
      <c r="C75" s="772">
        <v>813.75</v>
      </c>
      <c r="D75" s="243" t="s">
        <v>716</v>
      </c>
      <c r="E75" s="753">
        <v>9765</v>
      </c>
      <c r="F75" s="759"/>
      <c r="G75" s="759">
        <v>375</v>
      </c>
      <c r="H75" s="759">
        <v>6675</v>
      </c>
      <c r="I75" s="759"/>
      <c r="J75" s="760"/>
      <c r="K75" s="760"/>
      <c r="L75" s="760"/>
      <c r="M75" s="764"/>
      <c r="N75" s="760"/>
      <c r="O75" s="760"/>
      <c r="P75" s="760"/>
      <c r="Q75" s="759">
        <v>813.75</v>
      </c>
      <c r="R75" s="760">
        <v>813.75</v>
      </c>
      <c r="S75" s="761">
        <v>200</v>
      </c>
      <c r="T75" s="761"/>
      <c r="U75" s="761"/>
      <c r="V75" s="761"/>
    </row>
    <row r="76" spans="1:23" ht="22.5">
      <c r="A76" s="758" t="s">
        <v>761</v>
      </c>
      <c r="B76" s="762">
        <v>5</v>
      </c>
      <c r="C76" s="772">
        <v>68</v>
      </c>
      <c r="D76" s="243" t="s">
        <v>716</v>
      </c>
      <c r="E76" s="753"/>
      <c r="F76" s="759"/>
      <c r="G76" s="759"/>
      <c r="H76" s="759"/>
      <c r="I76" s="759"/>
      <c r="J76" s="760"/>
      <c r="K76" s="760"/>
      <c r="L76" s="760"/>
      <c r="M76" s="764"/>
      <c r="N76" s="760">
        <v>124100</v>
      </c>
      <c r="O76" s="759">
        <v>2460</v>
      </c>
      <c r="P76" s="759">
        <v>15000</v>
      </c>
      <c r="Q76" s="759">
        <v>10200</v>
      </c>
      <c r="R76" s="760">
        <v>10200</v>
      </c>
      <c r="S76" s="761">
        <v>1000</v>
      </c>
      <c r="T76" s="761"/>
      <c r="U76" s="761"/>
      <c r="V76" s="761"/>
    </row>
    <row r="77" spans="1:23" ht="22.5">
      <c r="A77" s="758" t="s">
        <v>765</v>
      </c>
      <c r="B77" s="762">
        <v>4</v>
      </c>
      <c r="C77" s="772">
        <v>74.849999999999994</v>
      </c>
      <c r="D77" s="243" t="s">
        <v>716</v>
      </c>
      <c r="E77" s="760"/>
      <c r="F77" s="760"/>
      <c r="G77" s="760"/>
      <c r="H77" s="760"/>
      <c r="I77" s="760"/>
      <c r="J77" s="760"/>
      <c r="K77" s="760"/>
      <c r="L77" s="760"/>
      <c r="M77" s="764"/>
      <c r="N77" s="759">
        <v>109281</v>
      </c>
      <c r="O77" s="759">
        <v>1440</v>
      </c>
      <c r="P77" s="759">
        <v>27000</v>
      </c>
      <c r="Q77" s="759">
        <v>8982</v>
      </c>
      <c r="R77" s="760">
        <v>8982</v>
      </c>
      <c r="S77" s="761">
        <v>800</v>
      </c>
      <c r="T77" s="761"/>
      <c r="U77" s="761"/>
      <c r="V77" s="761"/>
    </row>
    <row r="78" spans="1:23">
      <c r="A78" s="774" t="s">
        <v>931</v>
      </c>
      <c r="B78" s="775"/>
      <c r="C78" s="776"/>
      <c r="D78" s="243" t="s">
        <v>718</v>
      </c>
      <c r="E78" s="777"/>
      <c r="F78" s="777"/>
      <c r="G78" s="777"/>
      <c r="H78" s="777"/>
      <c r="I78" s="777"/>
      <c r="J78" s="777"/>
      <c r="K78" s="777"/>
      <c r="L78" s="777"/>
      <c r="M78" s="778"/>
      <c r="N78" s="779"/>
      <c r="O78" s="779"/>
      <c r="P78" s="779"/>
      <c r="Q78" s="779"/>
      <c r="R78" s="777"/>
      <c r="S78" s="780"/>
      <c r="T78" s="780">
        <v>75000</v>
      </c>
      <c r="U78" s="780"/>
      <c r="V78" s="780"/>
    </row>
    <row r="79" spans="1:23" ht="12" customHeight="1" thickBot="1">
      <c r="A79" s="774" t="s">
        <v>719</v>
      </c>
      <c r="B79" s="775"/>
      <c r="C79" s="781"/>
      <c r="D79" s="782" t="s">
        <v>718</v>
      </c>
      <c r="E79" s="777"/>
      <c r="F79" s="777"/>
      <c r="G79" s="777"/>
      <c r="H79" s="777"/>
      <c r="I79" s="777"/>
      <c r="J79" s="777"/>
      <c r="K79" s="777"/>
      <c r="L79" s="777"/>
      <c r="M79" s="778"/>
      <c r="N79" s="779"/>
      <c r="O79" s="779"/>
      <c r="P79" s="779"/>
      <c r="Q79" s="779">
        <v>69114.25</v>
      </c>
      <c r="R79" s="777">
        <v>69114.25</v>
      </c>
      <c r="S79" s="780">
        <v>8800</v>
      </c>
      <c r="T79" s="780"/>
      <c r="U79" s="780">
        <v>150000</v>
      </c>
      <c r="V79" s="780">
        <v>100000</v>
      </c>
    </row>
    <row r="80" spans="1:23" ht="12" thickBot="1">
      <c r="A80" s="783"/>
      <c r="B80" s="784">
        <v>168</v>
      </c>
      <c r="C80" s="785"/>
      <c r="D80" s="786"/>
      <c r="E80" s="787">
        <v>376107</v>
      </c>
      <c r="F80" s="788">
        <v>13114</v>
      </c>
      <c r="G80" s="787">
        <v>9613</v>
      </c>
      <c r="H80" s="788">
        <v>170100</v>
      </c>
      <c r="I80" s="787">
        <v>654132</v>
      </c>
      <c r="J80" s="788">
        <v>876000</v>
      </c>
      <c r="K80" s="787">
        <v>9000</v>
      </c>
      <c r="L80" s="788">
        <v>63000</v>
      </c>
      <c r="M80" s="789">
        <v>2924400</v>
      </c>
      <c r="N80" s="788">
        <v>2361313</v>
      </c>
      <c r="O80" s="787">
        <v>22560</v>
      </c>
      <c r="P80" s="787">
        <v>298500</v>
      </c>
      <c r="Q80" s="790">
        <v>425000</v>
      </c>
      <c r="R80" s="790">
        <v>425000</v>
      </c>
      <c r="S80" s="791">
        <v>35000</v>
      </c>
      <c r="T80" s="792">
        <v>75000</v>
      </c>
      <c r="U80" s="791">
        <v>150000</v>
      </c>
      <c r="V80" s="791">
        <v>100000</v>
      </c>
      <c r="W80" s="793"/>
    </row>
    <row r="81" spans="1:22" ht="13.5" thickBot="1">
      <c r="A81" s="892" t="s">
        <v>85</v>
      </c>
      <c r="B81" s="893"/>
      <c r="C81" s="893"/>
      <c r="D81" s="893"/>
      <c r="E81" s="893"/>
      <c r="F81" s="893"/>
      <c r="G81" s="893"/>
      <c r="H81" s="893"/>
      <c r="I81" s="893"/>
      <c r="J81" s="893"/>
      <c r="K81" s="893"/>
      <c r="L81" s="893"/>
      <c r="M81" s="893"/>
      <c r="N81" s="893"/>
      <c r="O81" s="893"/>
      <c r="P81" s="893"/>
      <c r="Q81" s="893"/>
      <c r="R81" s="893"/>
      <c r="S81" s="893"/>
      <c r="T81" s="893"/>
      <c r="U81" s="894"/>
      <c r="V81" s="794">
        <v>8987839</v>
      </c>
    </row>
    <row r="82" spans="1:22">
      <c r="E82" s="793"/>
      <c r="F82" s="793"/>
      <c r="G82" s="793"/>
      <c r="H82" s="793"/>
      <c r="I82" s="793"/>
      <c r="J82" s="793"/>
      <c r="K82" s="793"/>
      <c r="L82" s="793"/>
      <c r="M82" s="796"/>
      <c r="N82" s="793"/>
      <c r="O82" s="797"/>
      <c r="P82" s="793"/>
      <c r="Q82" s="793"/>
      <c r="R82" s="793"/>
      <c r="S82" s="793"/>
      <c r="T82" s="793"/>
      <c r="U82" s="793"/>
      <c r="V82" s="793"/>
    </row>
  </sheetData>
  <mergeCells count="9">
    <mergeCell ref="A81:U81"/>
    <mergeCell ref="A2:J2"/>
    <mergeCell ref="A3:J3"/>
    <mergeCell ref="A4:J4"/>
    <mergeCell ref="D5:D6"/>
    <mergeCell ref="C5:C6"/>
    <mergeCell ref="B5:B6"/>
    <mergeCell ref="A5:A6"/>
    <mergeCell ref="E5:V5"/>
  </mergeCells>
  <pageMargins left="0.70866141732283472" right="0.70866141732283472" top="0.74803149606299213" bottom="0.74803149606299213" header="0.31496062992125984" footer="0.31496062992125984"/>
  <pageSetup paperSize="17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8"/>
  <sheetViews>
    <sheetView view="pageBreakPreview" topLeftCell="A22" zoomScale="93" zoomScaleNormal="100" zoomScaleSheetLayoutView="93" workbookViewId="0">
      <selection activeCell="R39" sqref="R39"/>
    </sheetView>
  </sheetViews>
  <sheetFormatPr baseColWidth="10" defaultRowHeight="12.75"/>
  <cols>
    <col min="1" max="1" width="60.5703125" style="350" customWidth="1"/>
    <col min="2" max="2" width="14.7109375" style="350" customWidth="1"/>
    <col min="3" max="3" width="15.42578125" style="385" customWidth="1"/>
    <col min="4" max="4" width="15.85546875" style="360" bestFit="1" customWidth="1"/>
    <col min="5" max="5" width="25.7109375" style="350" bestFit="1" customWidth="1"/>
    <col min="6" max="6" width="18.140625" style="360" bestFit="1" customWidth="1"/>
    <col min="7" max="8" width="15.85546875" style="360" bestFit="1" customWidth="1"/>
    <col min="9" max="9" width="17.85546875" style="360" bestFit="1" customWidth="1"/>
    <col min="10" max="10" width="16" style="360" bestFit="1" customWidth="1"/>
    <col min="11" max="12" width="15.85546875" style="360" bestFit="1" customWidth="1"/>
    <col min="13" max="13" width="14.5703125" style="360" bestFit="1" customWidth="1"/>
    <col min="14" max="20" width="18" style="360" customWidth="1"/>
    <col min="21" max="21" width="15.7109375" style="360" customWidth="1"/>
    <col min="22" max="22" width="16.85546875" style="360" customWidth="1"/>
    <col min="23" max="23" width="19.42578125" style="360" customWidth="1"/>
    <col min="24" max="25" width="11.42578125" style="360"/>
    <col min="26" max="258" width="11.42578125" style="350"/>
    <col min="259" max="259" width="63.42578125" style="350" customWidth="1"/>
    <col min="260" max="260" width="18.42578125" style="350" customWidth="1"/>
    <col min="261" max="261" width="17.42578125" style="350" customWidth="1"/>
    <col min="262" max="262" width="14.7109375" style="350" customWidth="1"/>
    <col min="263" max="263" width="25.7109375" style="350" bestFit="1" customWidth="1"/>
    <col min="264" max="268" width="0" style="350" hidden="1" customWidth="1"/>
    <col min="269" max="269" width="18" style="350" bestFit="1" customWidth="1"/>
    <col min="270" max="270" width="14.5703125" style="350" bestFit="1" customWidth="1"/>
    <col min="271" max="271" width="14.85546875" style="350" bestFit="1" customWidth="1"/>
    <col min="272" max="272" width="17.7109375" style="350" bestFit="1" customWidth="1"/>
    <col min="273" max="273" width="15.85546875" style="350" bestFit="1" customWidth="1"/>
    <col min="274" max="275" width="14.85546875" style="350" bestFit="1" customWidth="1"/>
    <col min="276" max="276" width="13.28515625" style="350" bestFit="1" customWidth="1"/>
    <col min="277" max="277" width="18" style="350" customWidth="1"/>
    <col min="278" max="278" width="19" style="350" customWidth="1"/>
    <col min="279" max="279" width="14.5703125" style="350" customWidth="1"/>
    <col min="280" max="514" width="11.42578125" style="350"/>
    <col min="515" max="515" width="63.42578125" style="350" customWidth="1"/>
    <col min="516" max="516" width="18.42578125" style="350" customWidth="1"/>
    <col min="517" max="517" width="17.42578125" style="350" customWidth="1"/>
    <col min="518" max="518" width="14.7109375" style="350" customWidth="1"/>
    <col min="519" max="519" width="25.7109375" style="350" bestFit="1" customWidth="1"/>
    <col min="520" max="524" width="0" style="350" hidden="1" customWidth="1"/>
    <col min="525" max="525" width="18" style="350" bestFit="1" customWidth="1"/>
    <col min="526" max="526" width="14.5703125" style="350" bestFit="1" customWidth="1"/>
    <col min="527" max="527" width="14.85546875" style="350" bestFit="1" customWidth="1"/>
    <col min="528" max="528" width="17.7109375" style="350" bestFit="1" customWidth="1"/>
    <col min="529" max="529" width="15.85546875" style="350" bestFit="1" customWidth="1"/>
    <col min="530" max="531" width="14.85546875" style="350" bestFit="1" customWidth="1"/>
    <col min="532" max="532" width="13.28515625" style="350" bestFit="1" customWidth="1"/>
    <col min="533" max="533" width="18" style="350" customWidth="1"/>
    <col min="534" max="534" width="19" style="350" customWidth="1"/>
    <col min="535" max="535" width="14.5703125" style="350" customWidth="1"/>
    <col min="536" max="770" width="11.42578125" style="350"/>
    <col min="771" max="771" width="63.42578125" style="350" customWidth="1"/>
    <col min="772" max="772" width="18.42578125" style="350" customWidth="1"/>
    <col min="773" max="773" width="17.42578125" style="350" customWidth="1"/>
    <col min="774" max="774" width="14.7109375" style="350" customWidth="1"/>
    <col min="775" max="775" width="25.7109375" style="350" bestFit="1" customWidth="1"/>
    <col min="776" max="780" width="0" style="350" hidden="1" customWidth="1"/>
    <col min="781" max="781" width="18" style="350" bestFit="1" customWidth="1"/>
    <col min="782" max="782" width="14.5703125" style="350" bestFit="1" customWidth="1"/>
    <col min="783" max="783" width="14.85546875" style="350" bestFit="1" customWidth="1"/>
    <col min="784" max="784" width="17.7109375" style="350" bestFit="1" customWidth="1"/>
    <col min="785" max="785" width="15.85546875" style="350" bestFit="1" customWidth="1"/>
    <col min="786" max="787" width="14.85546875" style="350" bestFit="1" customWidth="1"/>
    <col min="788" max="788" width="13.28515625" style="350" bestFit="1" customWidth="1"/>
    <col min="789" max="789" width="18" style="350" customWidth="1"/>
    <col min="790" max="790" width="19" style="350" customWidth="1"/>
    <col min="791" max="791" width="14.5703125" style="350" customWidth="1"/>
    <col min="792" max="1026" width="11.42578125" style="350"/>
    <col min="1027" max="1027" width="63.42578125" style="350" customWidth="1"/>
    <col min="1028" max="1028" width="18.42578125" style="350" customWidth="1"/>
    <col min="1029" max="1029" width="17.42578125" style="350" customWidth="1"/>
    <col min="1030" max="1030" width="14.7109375" style="350" customWidth="1"/>
    <col min="1031" max="1031" width="25.7109375" style="350" bestFit="1" customWidth="1"/>
    <col min="1032" max="1036" width="0" style="350" hidden="1" customWidth="1"/>
    <col min="1037" max="1037" width="18" style="350" bestFit="1" customWidth="1"/>
    <col min="1038" max="1038" width="14.5703125" style="350" bestFit="1" customWidth="1"/>
    <col min="1039" max="1039" width="14.85546875" style="350" bestFit="1" customWidth="1"/>
    <col min="1040" max="1040" width="17.7109375" style="350" bestFit="1" customWidth="1"/>
    <col min="1041" max="1041" width="15.85546875" style="350" bestFit="1" customWidth="1"/>
    <col min="1042" max="1043" width="14.85546875" style="350" bestFit="1" customWidth="1"/>
    <col min="1044" max="1044" width="13.28515625" style="350" bestFit="1" customWidth="1"/>
    <col min="1045" max="1045" width="18" style="350" customWidth="1"/>
    <col min="1046" max="1046" width="19" style="350" customWidth="1"/>
    <col min="1047" max="1047" width="14.5703125" style="350" customWidth="1"/>
    <col min="1048" max="1282" width="11.42578125" style="350"/>
    <col min="1283" max="1283" width="63.42578125" style="350" customWidth="1"/>
    <col min="1284" max="1284" width="18.42578125" style="350" customWidth="1"/>
    <col min="1285" max="1285" width="17.42578125" style="350" customWidth="1"/>
    <col min="1286" max="1286" width="14.7109375" style="350" customWidth="1"/>
    <col min="1287" max="1287" width="25.7109375" style="350" bestFit="1" customWidth="1"/>
    <col min="1288" max="1292" width="0" style="350" hidden="1" customWidth="1"/>
    <col min="1293" max="1293" width="18" style="350" bestFit="1" customWidth="1"/>
    <col min="1294" max="1294" width="14.5703125" style="350" bestFit="1" customWidth="1"/>
    <col min="1295" max="1295" width="14.85546875" style="350" bestFit="1" customWidth="1"/>
    <col min="1296" max="1296" width="17.7109375" style="350" bestFit="1" customWidth="1"/>
    <col min="1297" max="1297" width="15.85546875" style="350" bestFit="1" customWidth="1"/>
    <col min="1298" max="1299" width="14.85546875" style="350" bestFit="1" customWidth="1"/>
    <col min="1300" max="1300" width="13.28515625" style="350" bestFit="1" customWidth="1"/>
    <col min="1301" max="1301" width="18" style="350" customWidth="1"/>
    <col min="1302" max="1302" width="19" style="350" customWidth="1"/>
    <col min="1303" max="1303" width="14.5703125" style="350" customWidth="1"/>
    <col min="1304" max="1538" width="11.42578125" style="350"/>
    <col min="1539" max="1539" width="63.42578125" style="350" customWidth="1"/>
    <col min="1540" max="1540" width="18.42578125" style="350" customWidth="1"/>
    <col min="1541" max="1541" width="17.42578125" style="350" customWidth="1"/>
    <col min="1542" max="1542" width="14.7109375" style="350" customWidth="1"/>
    <col min="1543" max="1543" width="25.7109375" style="350" bestFit="1" customWidth="1"/>
    <col min="1544" max="1548" width="0" style="350" hidden="1" customWidth="1"/>
    <col min="1549" max="1549" width="18" style="350" bestFit="1" customWidth="1"/>
    <col min="1550" max="1550" width="14.5703125" style="350" bestFit="1" customWidth="1"/>
    <col min="1551" max="1551" width="14.85546875" style="350" bestFit="1" customWidth="1"/>
    <col min="1552" max="1552" width="17.7109375" style="350" bestFit="1" customWidth="1"/>
    <col min="1553" max="1553" width="15.85546875" style="350" bestFit="1" customWidth="1"/>
    <col min="1554" max="1555" width="14.85546875" style="350" bestFit="1" customWidth="1"/>
    <col min="1556" max="1556" width="13.28515625" style="350" bestFit="1" customWidth="1"/>
    <col min="1557" max="1557" width="18" style="350" customWidth="1"/>
    <col min="1558" max="1558" width="19" style="350" customWidth="1"/>
    <col min="1559" max="1559" width="14.5703125" style="350" customWidth="1"/>
    <col min="1560" max="1794" width="11.42578125" style="350"/>
    <col min="1795" max="1795" width="63.42578125" style="350" customWidth="1"/>
    <col min="1796" max="1796" width="18.42578125" style="350" customWidth="1"/>
    <col min="1797" max="1797" width="17.42578125" style="350" customWidth="1"/>
    <col min="1798" max="1798" width="14.7109375" style="350" customWidth="1"/>
    <col min="1799" max="1799" width="25.7109375" style="350" bestFit="1" customWidth="1"/>
    <col min="1800" max="1804" width="0" style="350" hidden="1" customWidth="1"/>
    <col min="1805" max="1805" width="18" style="350" bestFit="1" customWidth="1"/>
    <col min="1806" max="1806" width="14.5703125" style="350" bestFit="1" customWidth="1"/>
    <col min="1807" max="1807" width="14.85546875" style="350" bestFit="1" customWidth="1"/>
    <col min="1808" max="1808" width="17.7109375" style="350" bestFit="1" customWidth="1"/>
    <col min="1809" max="1809" width="15.85546875" style="350" bestFit="1" customWidth="1"/>
    <col min="1810" max="1811" width="14.85546875" style="350" bestFit="1" customWidth="1"/>
    <col min="1812" max="1812" width="13.28515625" style="350" bestFit="1" customWidth="1"/>
    <col min="1813" max="1813" width="18" style="350" customWidth="1"/>
    <col min="1814" max="1814" width="19" style="350" customWidth="1"/>
    <col min="1815" max="1815" width="14.5703125" style="350" customWidth="1"/>
    <col min="1816" max="2050" width="11.42578125" style="350"/>
    <col min="2051" max="2051" width="63.42578125" style="350" customWidth="1"/>
    <col min="2052" max="2052" width="18.42578125" style="350" customWidth="1"/>
    <col min="2053" max="2053" width="17.42578125" style="350" customWidth="1"/>
    <col min="2054" max="2054" width="14.7109375" style="350" customWidth="1"/>
    <col min="2055" max="2055" width="25.7109375" style="350" bestFit="1" customWidth="1"/>
    <col min="2056" max="2060" width="0" style="350" hidden="1" customWidth="1"/>
    <col min="2061" max="2061" width="18" style="350" bestFit="1" customWidth="1"/>
    <col min="2062" max="2062" width="14.5703125" style="350" bestFit="1" customWidth="1"/>
    <col min="2063" max="2063" width="14.85546875" style="350" bestFit="1" customWidth="1"/>
    <col min="2064" max="2064" width="17.7109375" style="350" bestFit="1" customWidth="1"/>
    <col min="2065" max="2065" width="15.85546875" style="350" bestFit="1" customWidth="1"/>
    <col min="2066" max="2067" width="14.85546875" style="350" bestFit="1" customWidth="1"/>
    <col min="2068" max="2068" width="13.28515625" style="350" bestFit="1" customWidth="1"/>
    <col min="2069" max="2069" width="18" style="350" customWidth="1"/>
    <col min="2070" max="2070" width="19" style="350" customWidth="1"/>
    <col min="2071" max="2071" width="14.5703125" style="350" customWidth="1"/>
    <col min="2072" max="2306" width="11.42578125" style="350"/>
    <col min="2307" max="2307" width="63.42578125" style="350" customWidth="1"/>
    <col min="2308" max="2308" width="18.42578125" style="350" customWidth="1"/>
    <col min="2309" max="2309" width="17.42578125" style="350" customWidth="1"/>
    <col min="2310" max="2310" width="14.7109375" style="350" customWidth="1"/>
    <col min="2311" max="2311" width="25.7109375" style="350" bestFit="1" customWidth="1"/>
    <col min="2312" max="2316" width="0" style="350" hidden="1" customWidth="1"/>
    <col min="2317" max="2317" width="18" style="350" bestFit="1" customWidth="1"/>
    <col min="2318" max="2318" width="14.5703125" style="350" bestFit="1" customWidth="1"/>
    <col min="2319" max="2319" width="14.85546875" style="350" bestFit="1" customWidth="1"/>
    <col min="2320" max="2320" width="17.7109375" style="350" bestFit="1" customWidth="1"/>
    <col min="2321" max="2321" width="15.85546875" style="350" bestFit="1" customWidth="1"/>
    <col min="2322" max="2323" width="14.85546875" style="350" bestFit="1" customWidth="1"/>
    <col min="2324" max="2324" width="13.28515625" style="350" bestFit="1" customWidth="1"/>
    <col min="2325" max="2325" width="18" style="350" customWidth="1"/>
    <col min="2326" max="2326" width="19" style="350" customWidth="1"/>
    <col min="2327" max="2327" width="14.5703125" style="350" customWidth="1"/>
    <col min="2328" max="2562" width="11.42578125" style="350"/>
    <col min="2563" max="2563" width="63.42578125" style="350" customWidth="1"/>
    <col min="2564" max="2564" width="18.42578125" style="350" customWidth="1"/>
    <col min="2565" max="2565" width="17.42578125" style="350" customWidth="1"/>
    <col min="2566" max="2566" width="14.7109375" style="350" customWidth="1"/>
    <col min="2567" max="2567" width="25.7109375" style="350" bestFit="1" customWidth="1"/>
    <col min="2568" max="2572" width="0" style="350" hidden="1" customWidth="1"/>
    <col min="2573" max="2573" width="18" style="350" bestFit="1" customWidth="1"/>
    <col min="2574" max="2574" width="14.5703125" style="350" bestFit="1" customWidth="1"/>
    <col min="2575" max="2575" width="14.85546875" style="350" bestFit="1" customWidth="1"/>
    <col min="2576" max="2576" width="17.7109375" style="350" bestFit="1" customWidth="1"/>
    <col min="2577" max="2577" width="15.85546875" style="350" bestFit="1" customWidth="1"/>
    <col min="2578" max="2579" width="14.85546875" style="350" bestFit="1" customWidth="1"/>
    <col min="2580" max="2580" width="13.28515625" style="350" bestFit="1" customWidth="1"/>
    <col min="2581" max="2581" width="18" style="350" customWidth="1"/>
    <col min="2582" max="2582" width="19" style="350" customWidth="1"/>
    <col min="2583" max="2583" width="14.5703125" style="350" customWidth="1"/>
    <col min="2584" max="2818" width="11.42578125" style="350"/>
    <col min="2819" max="2819" width="63.42578125" style="350" customWidth="1"/>
    <col min="2820" max="2820" width="18.42578125" style="350" customWidth="1"/>
    <col min="2821" max="2821" width="17.42578125" style="350" customWidth="1"/>
    <col min="2822" max="2822" width="14.7109375" style="350" customWidth="1"/>
    <col min="2823" max="2823" width="25.7109375" style="350" bestFit="1" customWidth="1"/>
    <col min="2824" max="2828" width="0" style="350" hidden="1" customWidth="1"/>
    <col min="2829" max="2829" width="18" style="350" bestFit="1" customWidth="1"/>
    <col min="2830" max="2830" width="14.5703125" style="350" bestFit="1" customWidth="1"/>
    <col min="2831" max="2831" width="14.85546875" style="350" bestFit="1" customWidth="1"/>
    <col min="2832" max="2832" width="17.7109375" style="350" bestFit="1" customWidth="1"/>
    <col min="2833" max="2833" width="15.85546875" style="350" bestFit="1" customWidth="1"/>
    <col min="2834" max="2835" width="14.85546875" style="350" bestFit="1" customWidth="1"/>
    <col min="2836" max="2836" width="13.28515625" style="350" bestFit="1" customWidth="1"/>
    <col min="2837" max="2837" width="18" style="350" customWidth="1"/>
    <col min="2838" max="2838" width="19" style="350" customWidth="1"/>
    <col min="2839" max="2839" width="14.5703125" style="350" customWidth="1"/>
    <col min="2840" max="3074" width="11.42578125" style="350"/>
    <col min="3075" max="3075" width="63.42578125" style="350" customWidth="1"/>
    <col min="3076" max="3076" width="18.42578125" style="350" customWidth="1"/>
    <col min="3077" max="3077" width="17.42578125" style="350" customWidth="1"/>
    <col min="3078" max="3078" width="14.7109375" style="350" customWidth="1"/>
    <col min="3079" max="3079" width="25.7109375" style="350" bestFit="1" customWidth="1"/>
    <col min="3080" max="3084" width="0" style="350" hidden="1" customWidth="1"/>
    <col min="3085" max="3085" width="18" style="350" bestFit="1" customWidth="1"/>
    <col min="3086" max="3086" width="14.5703125" style="350" bestFit="1" customWidth="1"/>
    <col min="3087" max="3087" width="14.85546875" style="350" bestFit="1" customWidth="1"/>
    <col min="3088" max="3088" width="17.7109375" style="350" bestFit="1" customWidth="1"/>
    <col min="3089" max="3089" width="15.85546875" style="350" bestFit="1" customWidth="1"/>
    <col min="3090" max="3091" width="14.85546875" style="350" bestFit="1" customWidth="1"/>
    <col min="3092" max="3092" width="13.28515625" style="350" bestFit="1" customWidth="1"/>
    <col min="3093" max="3093" width="18" style="350" customWidth="1"/>
    <col min="3094" max="3094" width="19" style="350" customWidth="1"/>
    <col min="3095" max="3095" width="14.5703125" style="350" customWidth="1"/>
    <col min="3096" max="3330" width="11.42578125" style="350"/>
    <col min="3331" max="3331" width="63.42578125" style="350" customWidth="1"/>
    <col min="3332" max="3332" width="18.42578125" style="350" customWidth="1"/>
    <col min="3333" max="3333" width="17.42578125" style="350" customWidth="1"/>
    <col min="3334" max="3334" width="14.7109375" style="350" customWidth="1"/>
    <col min="3335" max="3335" width="25.7109375" style="350" bestFit="1" customWidth="1"/>
    <col min="3336" max="3340" width="0" style="350" hidden="1" customWidth="1"/>
    <col min="3341" max="3341" width="18" style="350" bestFit="1" customWidth="1"/>
    <col min="3342" max="3342" width="14.5703125" style="350" bestFit="1" customWidth="1"/>
    <col min="3343" max="3343" width="14.85546875" style="350" bestFit="1" customWidth="1"/>
    <col min="3344" max="3344" width="17.7109375" style="350" bestFit="1" customWidth="1"/>
    <col min="3345" max="3345" width="15.85546875" style="350" bestFit="1" customWidth="1"/>
    <col min="3346" max="3347" width="14.85546875" style="350" bestFit="1" customWidth="1"/>
    <col min="3348" max="3348" width="13.28515625" style="350" bestFit="1" customWidth="1"/>
    <col min="3349" max="3349" width="18" style="350" customWidth="1"/>
    <col min="3350" max="3350" width="19" style="350" customWidth="1"/>
    <col min="3351" max="3351" width="14.5703125" style="350" customWidth="1"/>
    <col min="3352" max="3586" width="11.42578125" style="350"/>
    <col min="3587" max="3587" width="63.42578125" style="350" customWidth="1"/>
    <col min="3588" max="3588" width="18.42578125" style="350" customWidth="1"/>
    <col min="3589" max="3589" width="17.42578125" style="350" customWidth="1"/>
    <col min="3590" max="3590" width="14.7109375" style="350" customWidth="1"/>
    <col min="3591" max="3591" width="25.7109375" style="350" bestFit="1" customWidth="1"/>
    <col min="3592" max="3596" width="0" style="350" hidden="1" customWidth="1"/>
    <col min="3597" max="3597" width="18" style="350" bestFit="1" customWidth="1"/>
    <col min="3598" max="3598" width="14.5703125" style="350" bestFit="1" customWidth="1"/>
    <col min="3599" max="3599" width="14.85546875" style="350" bestFit="1" customWidth="1"/>
    <col min="3600" max="3600" width="17.7109375" style="350" bestFit="1" customWidth="1"/>
    <col min="3601" max="3601" width="15.85546875" style="350" bestFit="1" customWidth="1"/>
    <col min="3602" max="3603" width="14.85546875" style="350" bestFit="1" customWidth="1"/>
    <col min="3604" max="3604" width="13.28515625" style="350" bestFit="1" customWidth="1"/>
    <col min="3605" max="3605" width="18" style="350" customWidth="1"/>
    <col min="3606" max="3606" width="19" style="350" customWidth="1"/>
    <col min="3607" max="3607" width="14.5703125" style="350" customWidth="1"/>
    <col min="3608" max="3842" width="11.42578125" style="350"/>
    <col min="3843" max="3843" width="63.42578125" style="350" customWidth="1"/>
    <col min="3844" max="3844" width="18.42578125" style="350" customWidth="1"/>
    <col min="3845" max="3845" width="17.42578125" style="350" customWidth="1"/>
    <col min="3846" max="3846" width="14.7109375" style="350" customWidth="1"/>
    <col min="3847" max="3847" width="25.7109375" style="350" bestFit="1" customWidth="1"/>
    <col min="3848" max="3852" width="0" style="350" hidden="1" customWidth="1"/>
    <col min="3853" max="3853" width="18" style="350" bestFit="1" customWidth="1"/>
    <col min="3854" max="3854" width="14.5703125" style="350" bestFit="1" customWidth="1"/>
    <col min="3855" max="3855" width="14.85546875" style="350" bestFit="1" customWidth="1"/>
    <col min="3856" max="3856" width="17.7109375" style="350" bestFit="1" customWidth="1"/>
    <col min="3857" max="3857" width="15.85546875" style="350" bestFit="1" customWidth="1"/>
    <col min="3858" max="3859" width="14.85546875" style="350" bestFit="1" customWidth="1"/>
    <col min="3860" max="3860" width="13.28515625" style="350" bestFit="1" customWidth="1"/>
    <col min="3861" max="3861" width="18" style="350" customWidth="1"/>
    <col min="3862" max="3862" width="19" style="350" customWidth="1"/>
    <col min="3863" max="3863" width="14.5703125" style="350" customWidth="1"/>
    <col min="3864" max="4098" width="11.42578125" style="350"/>
    <col min="4099" max="4099" width="63.42578125" style="350" customWidth="1"/>
    <col min="4100" max="4100" width="18.42578125" style="350" customWidth="1"/>
    <col min="4101" max="4101" width="17.42578125" style="350" customWidth="1"/>
    <col min="4102" max="4102" width="14.7109375" style="350" customWidth="1"/>
    <col min="4103" max="4103" width="25.7109375" style="350" bestFit="1" customWidth="1"/>
    <col min="4104" max="4108" width="0" style="350" hidden="1" customWidth="1"/>
    <col min="4109" max="4109" width="18" style="350" bestFit="1" customWidth="1"/>
    <col min="4110" max="4110" width="14.5703125" style="350" bestFit="1" customWidth="1"/>
    <col min="4111" max="4111" width="14.85546875" style="350" bestFit="1" customWidth="1"/>
    <col min="4112" max="4112" width="17.7109375" style="350" bestFit="1" customWidth="1"/>
    <col min="4113" max="4113" width="15.85546875" style="350" bestFit="1" customWidth="1"/>
    <col min="4114" max="4115" width="14.85546875" style="350" bestFit="1" customWidth="1"/>
    <col min="4116" max="4116" width="13.28515625" style="350" bestFit="1" customWidth="1"/>
    <col min="4117" max="4117" width="18" style="350" customWidth="1"/>
    <col min="4118" max="4118" width="19" style="350" customWidth="1"/>
    <col min="4119" max="4119" width="14.5703125" style="350" customWidth="1"/>
    <col min="4120" max="4354" width="11.42578125" style="350"/>
    <col min="4355" max="4355" width="63.42578125" style="350" customWidth="1"/>
    <col min="4356" max="4356" width="18.42578125" style="350" customWidth="1"/>
    <col min="4357" max="4357" width="17.42578125" style="350" customWidth="1"/>
    <col min="4358" max="4358" width="14.7109375" style="350" customWidth="1"/>
    <col min="4359" max="4359" width="25.7109375" style="350" bestFit="1" customWidth="1"/>
    <col min="4360" max="4364" width="0" style="350" hidden="1" customWidth="1"/>
    <col min="4365" max="4365" width="18" style="350" bestFit="1" customWidth="1"/>
    <col min="4366" max="4366" width="14.5703125" style="350" bestFit="1" customWidth="1"/>
    <col min="4367" max="4367" width="14.85546875" style="350" bestFit="1" customWidth="1"/>
    <col min="4368" max="4368" width="17.7109375" style="350" bestFit="1" customWidth="1"/>
    <col min="4369" max="4369" width="15.85546875" style="350" bestFit="1" customWidth="1"/>
    <col min="4370" max="4371" width="14.85546875" style="350" bestFit="1" customWidth="1"/>
    <col min="4372" max="4372" width="13.28515625" style="350" bestFit="1" customWidth="1"/>
    <col min="4373" max="4373" width="18" style="350" customWidth="1"/>
    <col min="4374" max="4374" width="19" style="350" customWidth="1"/>
    <col min="4375" max="4375" width="14.5703125" style="350" customWidth="1"/>
    <col min="4376" max="4610" width="11.42578125" style="350"/>
    <col min="4611" max="4611" width="63.42578125" style="350" customWidth="1"/>
    <col min="4612" max="4612" width="18.42578125" style="350" customWidth="1"/>
    <col min="4613" max="4613" width="17.42578125" style="350" customWidth="1"/>
    <col min="4614" max="4614" width="14.7109375" style="350" customWidth="1"/>
    <col min="4615" max="4615" width="25.7109375" style="350" bestFit="1" customWidth="1"/>
    <col min="4616" max="4620" width="0" style="350" hidden="1" customWidth="1"/>
    <col min="4621" max="4621" width="18" style="350" bestFit="1" customWidth="1"/>
    <col min="4622" max="4622" width="14.5703125" style="350" bestFit="1" customWidth="1"/>
    <col min="4623" max="4623" width="14.85546875" style="350" bestFit="1" customWidth="1"/>
    <col min="4624" max="4624" width="17.7109375" style="350" bestFit="1" customWidth="1"/>
    <col min="4625" max="4625" width="15.85546875" style="350" bestFit="1" customWidth="1"/>
    <col min="4626" max="4627" width="14.85546875" style="350" bestFit="1" customWidth="1"/>
    <col min="4628" max="4628" width="13.28515625" style="350" bestFit="1" customWidth="1"/>
    <col min="4629" max="4629" width="18" style="350" customWidth="1"/>
    <col min="4630" max="4630" width="19" style="350" customWidth="1"/>
    <col min="4631" max="4631" width="14.5703125" style="350" customWidth="1"/>
    <col min="4632" max="4866" width="11.42578125" style="350"/>
    <col min="4867" max="4867" width="63.42578125" style="350" customWidth="1"/>
    <col min="4868" max="4868" width="18.42578125" style="350" customWidth="1"/>
    <col min="4869" max="4869" width="17.42578125" style="350" customWidth="1"/>
    <col min="4870" max="4870" width="14.7109375" style="350" customWidth="1"/>
    <col min="4871" max="4871" width="25.7109375" style="350" bestFit="1" customWidth="1"/>
    <col min="4872" max="4876" width="0" style="350" hidden="1" customWidth="1"/>
    <col min="4877" max="4877" width="18" style="350" bestFit="1" customWidth="1"/>
    <col min="4878" max="4878" width="14.5703125" style="350" bestFit="1" customWidth="1"/>
    <col min="4879" max="4879" width="14.85546875" style="350" bestFit="1" customWidth="1"/>
    <col min="4880" max="4880" width="17.7109375" style="350" bestFit="1" customWidth="1"/>
    <col min="4881" max="4881" width="15.85546875" style="350" bestFit="1" customWidth="1"/>
    <col min="4882" max="4883" width="14.85546875" style="350" bestFit="1" customWidth="1"/>
    <col min="4884" max="4884" width="13.28515625" style="350" bestFit="1" customWidth="1"/>
    <col min="4885" max="4885" width="18" style="350" customWidth="1"/>
    <col min="4886" max="4886" width="19" style="350" customWidth="1"/>
    <col min="4887" max="4887" width="14.5703125" style="350" customWidth="1"/>
    <col min="4888" max="5122" width="11.42578125" style="350"/>
    <col min="5123" max="5123" width="63.42578125" style="350" customWidth="1"/>
    <col min="5124" max="5124" width="18.42578125" style="350" customWidth="1"/>
    <col min="5125" max="5125" width="17.42578125" style="350" customWidth="1"/>
    <col min="5126" max="5126" width="14.7109375" style="350" customWidth="1"/>
    <col min="5127" max="5127" width="25.7109375" style="350" bestFit="1" customWidth="1"/>
    <col min="5128" max="5132" width="0" style="350" hidden="1" customWidth="1"/>
    <col min="5133" max="5133" width="18" style="350" bestFit="1" customWidth="1"/>
    <col min="5134" max="5134" width="14.5703125" style="350" bestFit="1" customWidth="1"/>
    <col min="5135" max="5135" width="14.85546875" style="350" bestFit="1" customWidth="1"/>
    <col min="5136" max="5136" width="17.7109375" style="350" bestFit="1" customWidth="1"/>
    <col min="5137" max="5137" width="15.85546875" style="350" bestFit="1" customWidth="1"/>
    <col min="5138" max="5139" width="14.85546875" style="350" bestFit="1" customWidth="1"/>
    <col min="5140" max="5140" width="13.28515625" style="350" bestFit="1" customWidth="1"/>
    <col min="5141" max="5141" width="18" style="350" customWidth="1"/>
    <col min="5142" max="5142" width="19" style="350" customWidth="1"/>
    <col min="5143" max="5143" width="14.5703125" style="350" customWidth="1"/>
    <col min="5144" max="5378" width="11.42578125" style="350"/>
    <col min="5379" max="5379" width="63.42578125" style="350" customWidth="1"/>
    <col min="5380" max="5380" width="18.42578125" style="350" customWidth="1"/>
    <col min="5381" max="5381" width="17.42578125" style="350" customWidth="1"/>
    <col min="5382" max="5382" width="14.7109375" style="350" customWidth="1"/>
    <col min="5383" max="5383" width="25.7109375" style="350" bestFit="1" customWidth="1"/>
    <col min="5384" max="5388" width="0" style="350" hidden="1" customWidth="1"/>
    <col min="5389" max="5389" width="18" style="350" bestFit="1" customWidth="1"/>
    <col min="5390" max="5390" width="14.5703125" style="350" bestFit="1" customWidth="1"/>
    <col min="5391" max="5391" width="14.85546875" style="350" bestFit="1" customWidth="1"/>
    <col min="5392" max="5392" width="17.7109375" style="350" bestFit="1" customWidth="1"/>
    <col min="5393" max="5393" width="15.85546875" style="350" bestFit="1" customWidth="1"/>
    <col min="5394" max="5395" width="14.85546875" style="350" bestFit="1" customWidth="1"/>
    <col min="5396" max="5396" width="13.28515625" style="350" bestFit="1" customWidth="1"/>
    <col min="5397" max="5397" width="18" style="350" customWidth="1"/>
    <col min="5398" max="5398" width="19" style="350" customWidth="1"/>
    <col min="5399" max="5399" width="14.5703125" style="350" customWidth="1"/>
    <col min="5400" max="5634" width="11.42578125" style="350"/>
    <col min="5635" max="5635" width="63.42578125" style="350" customWidth="1"/>
    <col min="5636" max="5636" width="18.42578125" style="350" customWidth="1"/>
    <col min="5637" max="5637" width="17.42578125" style="350" customWidth="1"/>
    <col min="5638" max="5638" width="14.7109375" style="350" customWidth="1"/>
    <col min="5639" max="5639" width="25.7109375" style="350" bestFit="1" customWidth="1"/>
    <col min="5640" max="5644" width="0" style="350" hidden="1" customWidth="1"/>
    <col min="5645" max="5645" width="18" style="350" bestFit="1" customWidth="1"/>
    <col min="5646" max="5646" width="14.5703125" style="350" bestFit="1" customWidth="1"/>
    <col min="5647" max="5647" width="14.85546875" style="350" bestFit="1" customWidth="1"/>
    <col min="5648" max="5648" width="17.7109375" style="350" bestFit="1" customWidth="1"/>
    <col min="5649" max="5649" width="15.85546875" style="350" bestFit="1" customWidth="1"/>
    <col min="5650" max="5651" width="14.85546875" style="350" bestFit="1" customWidth="1"/>
    <col min="5652" max="5652" width="13.28515625" style="350" bestFit="1" customWidth="1"/>
    <col min="5653" max="5653" width="18" style="350" customWidth="1"/>
    <col min="5654" max="5654" width="19" style="350" customWidth="1"/>
    <col min="5655" max="5655" width="14.5703125" style="350" customWidth="1"/>
    <col min="5656" max="5890" width="11.42578125" style="350"/>
    <col min="5891" max="5891" width="63.42578125" style="350" customWidth="1"/>
    <col min="5892" max="5892" width="18.42578125" style="350" customWidth="1"/>
    <col min="5893" max="5893" width="17.42578125" style="350" customWidth="1"/>
    <col min="5894" max="5894" width="14.7109375" style="350" customWidth="1"/>
    <col min="5895" max="5895" width="25.7109375" style="350" bestFit="1" customWidth="1"/>
    <col min="5896" max="5900" width="0" style="350" hidden="1" customWidth="1"/>
    <col min="5901" max="5901" width="18" style="350" bestFit="1" customWidth="1"/>
    <col min="5902" max="5902" width="14.5703125" style="350" bestFit="1" customWidth="1"/>
    <col min="5903" max="5903" width="14.85546875" style="350" bestFit="1" customWidth="1"/>
    <col min="5904" max="5904" width="17.7109375" style="350" bestFit="1" customWidth="1"/>
    <col min="5905" max="5905" width="15.85546875" style="350" bestFit="1" customWidth="1"/>
    <col min="5906" max="5907" width="14.85546875" style="350" bestFit="1" customWidth="1"/>
    <col min="5908" max="5908" width="13.28515625" style="350" bestFit="1" customWidth="1"/>
    <col min="5909" max="5909" width="18" style="350" customWidth="1"/>
    <col min="5910" max="5910" width="19" style="350" customWidth="1"/>
    <col min="5911" max="5911" width="14.5703125" style="350" customWidth="1"/>
    <col min="5912" max="6146" width="11.42578125" style="350"/>
    <col min="6147" max="6147" width="63.42578125" style="350" customWidth="1"/>
    <col min="6148" max="6148" width="18.42578125" style="350" customWidth="1"/>
    <col min="6149" max="6149" width="17.42578125" style="350" customWidth="1"/>
    <col min="6150" max="6150" width="14.7109375" style="350" customWidth="1"/>
    <col min="6151" max="6151" width="25.7109375" style="350" bestFit="1" customWidth="1"/>
    <col min="6152" max="6156" width="0" style="350" hidden="1" customWidth="1"/>
    <col min="6157" max="6157" width="18" style="350" bestFit="1" customWidth="1"/>
    <col min="6158" max="6158" width="14.5703125" style="350" bestFit="1" customWidth="1"/>
    <col min="6159" max="6159" width="14.85546875" style="350" bestFit="1" customWidth="1"/>
    <col min="6160" max="6160" width="17.7109375" style="350" bestFit="1" customWidth="1"/>
    <col min="6161" max="6161" width="15.85546875" style="350" bestFit="1" customWidth="1"/>
    <col min="6162" max="6163" width="14.85546875" style="350" bestFit="1" customWidth="1"/>
    <col min="6164" max="6164" width="13.28515625" style="350" bestFit="1" customWidth="1"/>
    <col min="6165" max="6165" width="18" style="350" customWidth="1"/>
    <col min="6166" max="6166" width="19" style="350" customWidth="1"/>
    <col min="6167" max="6167" width="14.5703125" style="350" customWidth="1"/>
    <col min="6168" max="6402" width="11.42578125" style="350"/>
    <col min="6403" max="6403" width="63.42578125" style="350" customWidth="1"/>
    <col min="6404" max="6404" width="18.42578125" style="350" customWidth="1"/>
    <col min="6405" max="6405" width="17.42578125" style="350" customWidth="1"/>
    <col min="6406" max="6406" width="14.7109375" style="350" customWidth="1"/>
    <col min="6407" max="6407" width="25.7109375" style="350" bestFit="1" customWidth="1"/>
    <col min="6408" max="6412" width="0" style="350" hidden="1" customWidth="1"/>
    <col min="6413" max="6413" width="18" style="350" bestFit="1" customWidth="1"/>
    <col min="6414" max="6414" width="14.5703125" style="350" bestFit="1" customWidth="1"/>
    <col min="6415" max="6415" width="14.85546875" style="350" bestFit="1" customWidth="1"/>
    <col min="6416" max="6416" width="17.7109375" style="350" bestFit="1" customWidth="1"/>
    <col min="6417" max="6417" width="15.85546875" style="350" bestFit="1" customWidth="1"/>
    <col min="6418" max="6419" width="14.85546875" style="350" bestFit="1" customWidth="1"/>
    <col min="6420" max="6420" width="13.28515625" style="350" bestFit="1" customWidth="1"/>
    <col min="6421" max="6421" width="18" style="350" customWidth="1"/>
    <col min="6422" max="6422" width="19" style="350" customWidth="1"/>
    <col min="6423" max="6423" width="14.5703125" style="350" customWidth="1"/>
    <col min="6424" max="6658" width="11.42578125" style="350"/>
    <col min="6659" max="6659" width="63.42578125" style="350" customWidth="1"/>
    <col min="6660" max="6660" width="18.42578125" style="350" customWidth="1"/>
    <col min="6661" max="6661" width="17.42578125" style="350" customWidth="1"/>
    <col min="6662" max="6662" width="14.7109375" style="350" customWidth="1"/>
    <col min="6663" max="6663" width="25.7109375" style="350" bestFit="1" customWidth="1"/>
    <col min="6664" max="6668" width="0" style="350" hidden="1" customWidth="1"/>
    <col min="6669" max="6669" width="18" style="350" bestFit="1" customWidth="1"/>
    <col min="6670" max="6670" width="14.5703125" style="350" bestFit="1" customWidth="1"/>
    <col min="6671" max="6671" width="14.85546875" style="350" bestFit="1" customWidth="1"/>
    <col min="6672" max="6672" width="17.7109375" style="350" bestFit="1" customWidth="1"/>
    <col min="6673" max="6673" width="15.85546875" style="350" bestFit="1" customWidth="1"/>
    <col min="6674" max="6675" width="14.85546875" style="350" bestFit="1" customWidth="1"/>
    <col min="6676" max="6676" width="13.28515625" style="350" bestFit="1" customWidth="1"/>
    <col min="6677" max="6677" width="18" style="350" customWidth="1"/>
    <col min="6678" max="6678" width="19" style="350" customWidth="1"/>
    <col min="6679" max="6679" width="14.5703125" style="350" customWidth="1"/>
    <col min="6680" max="6914" width="11.42578125" style="350"/>
    <col min="6915" max="6915" width="63.42578125" style="350" customWidth="1"/>
    <col min="6916" max="6916" width="18.42578125" style="350" customWidth="1"/>
    <col min="6917" max="6917" width="17.42578125" style="350" customWidth="1"/>
    <col min="6918" max="6918" width="14.7109375" style="350" customWidth="1"/>
    <col min="6919" max="6919" width="25.7109375" style="350" bestFit="1" customWidth="1"/>
    <col min="6920" max="6924" width="0" style="350" hidden="1" customWidth="1"/>
    <col min="6925" max="6925" width="18" style="350" bestFit="1" customWidth="1"/>
    <col min="6926" max="6926" width="14.5703125" style="350" bestFit="1" customWidth="1"/>
    <col min="6927" max="6927" width="14.85546875" style="350" bestFit="1" customWidth="1"/>
    <col min="6928" max="6928" width="17.7109375" style="350" bestFit="1" customWidth="1"/>
    <col min="6929" max="6929" width="15.85546875" style="350" bestFit="1" customWidth="1"/>
    <col min="6930" max="6931" width="14.85546875" style="350" bestFit="1" customWidth="1"/>
    <col min="6932" max="6932" width="13.28515625" style="350" bestFit="1" customWidth="1"/>
    <col min="6933" max="6933" width="18" style="350" customWidth="1"/>
    <col min="6934" max="6934" width="19" style="350" customWidth="1"/>
    <col min="6935" max="6935" width="14.5703125" style="350" customWidth="1"/>
    <col min="6936" max="7170" width="11.42578125" style="350"/>
    <col min="7171" max="7171" width="63.42578125" style="350" customWidth="1"/>
    <col min="7172" max="7172" width="18.42578125" style="350" customWidth="1"/>
    <col min="7173" max="7173" width="17.42578125" style="350" customWidth="1"/>
    <col min="7174" max="7174" width="14.7109375" style="350" customWidth="1"/>
    <col min="7175" max="7175" width="25.7109375" style="350" bestFit="1" customWidth="1"/>
    <col min="7176" max="7180" width="0" style="350" hidden="1" customWidth="1"/>
    <col min="7181" max="7181" width="18" style="350" bestFit="1" customWidth="1"/>
    <col min="7182" max="7182" width="14.5703125" style="350" bestFit="1" customWidth="1"/>
    <col min="7183" max="7183" width="14.85546875" style="350" bestFit="1" customWidth="1"/>
    <col min="7184" max="7184" width="17.7109375" style="350" bestFit="1" customWidth="1"/>
    <col min="7185" max="7185" width="15.85546875" style="350" bestFit="1" customWidth="1"/>
    <col min="7186" max="7187" width="14.85546875" style="350" bestFit="1" customWidth="1"/>
    <col min="7188" max="7188" width="13.28515625" style="350" bestFit="1" customWidth="1"/>
    <col min="7189" max="7189" width="18" style="350" customWidth="1"/>
    <col min="7190" max="7190" width="19" style="350" customWidth="1"/>
    <col min="7191" max="7191" width="14.5703125" style="350" customWidth="1"/>
    <col min="7192" max="7426" width="11.42578125" style="350"/>
    <col min="7427" max="7427" width="63.42578125" style="350" customWidth="1"/>
    <col min="7428" max="7428" width="18.42578125" style="350" customWidth="1"/>
    <col min="7429" max="7429" width="17.42578125" style="350" customWidth="1"/>
    <col min="7430" max="7430" width="14.7109375" style="350" customWidth="1"/>
    <col min="7431" max="7431" width="25.7109375" style="350" bestFit="1" customWidth="1"/>
    <col min="7432" max="7436" width="0" style="350" hidden="1" customWidth="1"/>
    <col min="7437" max="7437" width="18" style="350" bestFit="1" customWidth="1"/>
    <col min="7438" max="7438" width="14.5703125" style="350" bestFit="1" customWidth="1"/>
    <col min="7439" max="7439" width="14.85546875" style="350" bestFit="1" customWidth="1"/>
    <col min="7440" max="7440" width="17.7109375" style="350" bestFit="1" customWidth="1"/>
    <col min="7441" max="7441" width="15.85546875" style="350" bestFit="1" customWidth="1"/>
    <col min="7442" max="7443" width="14.85546875" style="350" bestFit="1" customWidth="1"/>
    <col min="7444" max="7444" width="13.28515625" style="350" bestFit="1" customWidth="1"/>
    <col min="7445" max="7445" width="18" style="350" customWidth="1"/>
    <col min="7446" max="7446" width="19" style="350" customWidth="1"/>
    <col min="7447" max="7447" width="14.5703125" style="350" customWidth="1"/>
    <col min="7448" max="7682" width="11.42578125" style="350"/>
    <col min="7683" max="7683" width="63.42578125" style="350" customWidth="1"/>
    <col min="7684" max="7684" width="18.42578125" style="350" customWidth="1"/>
    <col min="7685" max="7685" width="17.42578125" style="350" customWidth="1"/>
    <col min="7686" max="7686" width="14.7109375" style="350" customWidth="1"/>
    <col min="7687" max="7687" width="25.7109375" style="350" bestFit="1" customWidth="1"/>
    <col min="7688" max="7692" width="0" style="350" hidden="1" customWidth="1"/>
    <col min="7693" max="7693" width="18" style="350" bestFit="1" customWidth="1"/>
    <col min="7694" max="7694" width="14.5703125" style="350" bestFit="1" customWidth="1"/>
    <col min="7695" max="7695" width="14.85546875" style="350" bestFit="1" customWidth="1"/>
    <col min="7696" max="7696" width="17.7109375" style="350" bestFit="1" customWidth="1"/>
    <col min="7697" max="7697" width="15.85546875" style="350" bestFit="1" customWidth="1"/>
    <col min="7698" max="7699" width="14.85546875" style="350" bestFit="1" customWidth="1"/>
    <col min="7700" max="7700" width="13.28515625" style="350" bestFit="1" customWidth="1"/>
    <col min="7701" max="7701" width="18" style="350" customWidth="1"/>
    <col min="7702" max="7702" width="19" style="350" customWidth="1"/>
    <col min="7703" max="7703" width="14.5703125" style="350" customWidth="1"/>
    <col min="7704" max="7938" width="11.42578125" style="350"/>
    <col min="7939" max="7939" width="63.42578125" style="350" customWidth="1"/>
    <col min="7940" max="7940" width="18.42578125" style="350" customWidth="1"/>
    <col min="7941" max="7941" width="17.42578125" style="350" customWidth="1"/>
    <col min="7942" max="7942" width="14.7109375" style="350" customWidth="1"/>
    <col min="7943" max="7943" width="25.7109375" style="350" bestFit="1" customWidth="1"/>
    <col min="7944" max="7948" width="0" style="350" hidden="1" customWidth="1"/>
    <col min="7949" max="7949" width="18" style="350" bestFit="1" customWidth="1"/>
    <col min="7950" max="7950" width="14.5703125" style="350" bestFit="1" customWidth="1"/>
    <col min="7951" max="7951" width="14.85546875" style="350" bestFit="1" customWidth="1"/>
    <col min="7952" max="7952" width="17.7109375" style="350" bestFit="1" customWidth="1"/>
    <col min="7953" max="7953" width="15.85546875" style="350" bestFit="1" customWidth="1"/>
    <col min="7954" max="7955" width="14.85546875" style="350" bestFit="1" customWidth="1"/>
    <col min="7956" max="7956" width="13.28515625" style="350" bestFit="1" customWidth="1"/>
    <col min="7957" max="7957" width="18" style="350" customWidth="1"/>
    <col min="7958" max="7958" width="19" style="350" customWidth="1"/>
    <col min="7959" max="7959" width="14.5703125" style="350" customWidth="1"/>
    <col min="7960" max="8194" width="11.42578125" style="350"/>
    <col min="8195" max="8195" width="63.42578125" style="350" customWidth="1"/>
    <col min="8196" max="8196" width="18.42578125" style="350" customWidth="1"/>
    <col min="8197" max="8197" width="17.42578125" style="350" customWidth="1"/>
    <col min="8198" max="8198" width="14.7109375" style="350" customWidth="1"/>
    <col min="8199" max="8199" width="25.7109375" style="350" bestFit="1" customWidth="1"/>
    <col min="8200" max="8204" width="0" style="350" hidden="1" customWidth="1"/>
    <col min="8205" max="8205" width="18" style="350" bestFit="1" customWidth="1"/>
    <col min="8206" max="8206" width="14.5703125" style="350" bestFit="1" customWidth="1"/>
    <col min="8207" max="8207" width="14.85546875" style="350" bestFit="1" customWidth="1"/>
    <col min="8208" max="8208" width="17.7109375" style="350" bestFit="1" customWidth="1"/>
    <col min="8209" max="8209" width="15.85546875" style="350" bestFit="1" customWidth="1"/>
    <col min="8210" max="8211" width="14.85546875" style="350" bestFit="1" customWidth="1"/>
    <col min="8212" max="8212" width="13.28515625" style="350" bestFit="1" customWidth="1"/>
    <col min="8213" max="8213" width="18" style="350" customWidth="1"/>
    <col min="8214" max="8214" width="19" style="350" customWidth="1"/>
    <col min="8215" max="8215" width="14.5703125" style="350" customWidth="1"/>
    <col min="8216" max="8450" width="11.42578125" style="350"/>
    <col min="8451" max="8451" width="63.42578125" style="350" customWidth="1"/>
    <col min="8452" max="8452" width="18.42578125" style="350" customWidth="1"/>
    <col min="8453" max="8453" width="17.42578125" style="350" customWidth="1"/>
    <col min="8454" max="8454" width="14.7109375" style="350" customWidth="1"/>
    <col min="8455" max="8455" width="25.7109375" style="350" bestFit="1" customWidth="1"/>
    <col min="8456" max="8460" width="0" style="350" hidden="1" customWidth="1"/>
    <col min="8461" max="8461" width="18" style="350" bestFit="1" customWidth="1"/>
    <col min="8462" max="8462" width="14.5703125" style="350" bestFit="1" customWidth="1"/>
    <col min="8463" max="8463" width="14.85546875" style="350" bestFit="1" customWidth="1"/>
    <col min="8464" max="8464" width="17.7109375" style="350" bestFit="1" customWidth="1"/>
    <col min="8465" max="8465" width="15.85546875" style="350" bestFit="1" customWidth="1"/>
    <col min="8466" max="8467" width="14.85546875" style="350" bestFit="1" customWidth="1"/>
    <col min="8468" max="8468" width="13.28515625" style="350" bestFit="1" customWidth="1"/>
    <col min="8469" max="8469" width="18" style="350" customWidth="1"/>
    <col min="8470" max="8470" width="19" style="350" customWidth="1"/>
    <col min="8471" max="8471" width="14.5703125" style="350" customWidth="1"/>
    <col min="8472" max="8706" width="11.42578125" style="350"/>
    <col min="8707" max="8707" width="63.42578125" style="350" customWidth="1"/>
    <col min="8708" max="8708" width="18.42578125" style="350" customWidth="1"/>
    <col min="8709" max="8709" width="17.42578125" style="350" customWidth="1"/>
    <col min="8710" max="8710" width="14.7109375" style="350" customWidth="1"/>
    <col min="8711" max="8711" width="25.7109375" style="350" bestFit="1" customWidth="1"/>
    <col min="8712" max="8716" width="0" style="350" hidden="1" customWidth="1"/>
    <col min="8717" max="8717" width="18" style="350" bestFit="1" customWidth="1"/>
    <col min="8718" max="8718" width="14.5703125" style="350" bestFit="1" customWidth="1"/>
    <col min="8719" max="8719" width="14.85546875" style="350" bestFit="1" customWidth="1"/>
    <col min="8720" max="8720" width="17.7109375" style="350" bestFit="1" customWidth="1"/>
    <col min="8721" max="8721" width="15.85546875" style="350" bestFit="1" customWidth="1"/>
    <col min="8722" max="8723" width="14.85546875" style="350" bestFit="1" customWidth="1"/>
    <col min="8724" max="8724" width="13.28515625" style="350" bestFit="1" customWidth="1"/>
    <col min="8725" max="8725" width="18" style="350" customWidth="1"/>
    <col min="8726" max="8726" width="19" style="350" customWidth="1"/>
    <col min="8727" max="8727" width="14.5703125" style="350" customWidth="1"/>
    <col min="8728" max="8962" width="11.42578125" style="350"/>
    <col min="8963" max="8963" width="63.42578125" style="350" customWidth="1"/>
    <col min="8964" max="8964" width="18.42578125" style="350" customWidth="1"/>
    <col min="8965" max="8965" width="17.42578125" style="350" customWidth="1"/>
    <col min="8966" max="8966" width="14.7109375" style="350" customWidth="1"/>
    <col min="8967" max="8967" width="25.7109375" style="350" bestFit="1" customWidth="1"/>
    <col min="8968" max="8972" width="0" style="350" hidden="1" customWidth="1"/>
    <col min="8973" max="8973" width="18" style="350" bestFit="1" customWidth="1"/>
    <col min="8974" max="8974" width="14.5703125" style="350" bestFit="1" customWidth="1"/>
    <col min="8975" max="8975" width="14.85546875" style="350" bestFit="1" customWidth="1"/>
    <col min="8976" max="8976" width="17.7109375" style="350" bestFit="1" customWidth="1"/>
    <col min="8977" max="8977" width="15.85546875" style="350" bestFit="1" customWidth="1"/>
    <col min="8978" max="8979" width="14.85546875" style="350" bestFit="1" customWidth="1"/>
    <col min="8980" max="8980" width="13.28515625" style="350" bestFit="1" customWidth="1"/>
    <col min="8981" max="8981" width="18" style="350" customWidth="1"/>
    <col min="8982" max="8982" width="19" style="350" customWidth="1"/>
    <col min="8983" max="8983" width="14.5703125" style="350" customWidth="1"/>
    <col min="8984" max="9218" width="11.42578125" style="350"/>
    <col min="9219" max="9219" width="63.42578125" style="350" customWidth="1"/>
    <col min="9220" max="9220" width="18.42578125" style="350" customWidth="1"/>
    <col min="9221" max="9221" width="17.42578125" style="350" customWidth="1"/>
    <col min="9222" max="9222" width="14.7109375" style="350" customWidth="1"/>
    <col min="9223" max="9223" width="25.7109375" style="350" bestFit="1" customWidth="1"/>
    <col min="9224" max="9228" width="0" style="350" hidden="1" customWidth="1"/>
    <col min="9229" max="9229" width="18" style="350" bestFit="1" customWidth="1"/>
    <col min="9230" max="9230" width="14.5703125" style="350" bestFit="1" customWidth="1"/>
    <col min="9231" max="9231" width="14.85546875" style="350" bestFit="1" customWidth="1"/>
    <col min="9232" max="9232" width="17.7109375" style="350" bestFit="1" customWidth="1"/>
    <col min="9233" max="9233" width="15.85546875" style="350" bestFit="1" customWidth="1"/>
    <col min="9234" max="9235" width="14.85546875" style="350" bestFit="1" customWidth="1"/>
    <col min="9236" max="9236" width="13.28515625" style="350" bestFit="1" customWidth="1"/>
    <col min="9237" max="9237" width="18" style="350" customWidth="1"/>
    <col min="9238" max="9238" width="19" style="350" customWidth="1"/>
    <col min="9239" max="9239" width="14.5703125" style="350" customWidth="1"/>
    <col min="9240" max="9474" width="11.42578125" style="350"/>
    <col min="9475" max="9475" width="63.42578125" style="350" customWidth="1"/>
    <col min="9476" max="9476" width="18.42578125" style="350" customWidth="1"/>
    <col min="9477" max="9477" width="17.42578125" style="350" customWidth="1"/>
    <col min="9478" max="9478" width="14.7109375" style="350" customWidth="1"/>
    <col min="9479" max="9479" width="25.7109375" style="350" bestFit="1" customWidth="1"/>
    <col min="9480" max="9484" width="0" style="350" hidden="1" customWidth="1"/>
    <col min="9485" max="9485" width="18" style="350" bestFit="1" customWidth="1"/>
    <col min="9486" max="9486" width="14.5703125" style="350" bestFit="1" customWidth="1"/>
    <col min="9487" max="9487" width="14.85546875" style="350" bestFit="1" customWidth="1"/>
    <col min="9488" max="9488" width="17.7109375" style="350" bestFit="1" customWidth="1"/>
    <col min="9489" max="9489" width="15.85546875" style="350" bestFit="1" customWidth="1"/>
    <col min="9490" max="9491" width="14.85546875" style="350" bestFit="1" customWidth="1"/>
    <col min="9492" max="9492" width="13.28515625" style="350" bestFit="1" customWidth="1"/>
    <col min="9493" max="9493" width="18" style="350" customWidth="1"/>
    <col min="9494" max="9494" width="19" style="350" customWidth="1"/>
    <col min="9495" max="9495" width="14.5703125" style="350" customWidth="1"/>
    <col min="9496" max="9730" width="11.42578125" style="350"/>
    <col min="9731" max="9731" width="63.42578125" style="350" customWidth="1"/>
    <col min="9732" max="9732" width="18.42578125" style="350" customWidth="1"/>
    <col min="9733" max="9733" width="17.42578125" style="350" customWidth="1"/>
    <col min="9734" max="9734" width="14.7109375" style="350" customWidth="1"/>
    <col min="9735" max="9735" width="25.7109375" style="350" bestFit="1" customWidth="1"/>
    <col min="9736" max="9740" width="0" style="350" hidden="1" customWidth="1"/>
    <col min="9741" max="9741" width="18" style="350" bestFit="1" customWidth="1"/>
    <col min="9742" max="9742" width="14.5703125" style="350" bestFit="1" customWidth="1"/>
    <col min="9743" max="9743" width="14.85546875" style="350" bestFit="1" customWidth="1"/>
    <col min="9744" max="9744" width="17.7109375" style="350" bestFit="1" customWidth="1"/>
    <col min="9745" max="9745" width="15.85546875" style="350" bestFit="1" customWidth="1"/>
    <col min="9746" max="9747" width="14.85546875" style="350" bestFit="1" customWidth="1"/>
    <col min="9748" max="9748" width="13.28515625" style="350" bestFit="1" customWidth="1"/>
    <col min="9749" max="9749" width="18" style="350" customWidth="1"/>
    <col min="9750" max="9750" width="19" style="350" customWidth="1"/>
    <col min="9751" max="9751" width="14.5703125" style="350" customWidth="1"/>
    <col min="9752" max="9986" width="11.42578125" style="350"/>
    <col min="9987" max="9987" width="63.42578125" style="350" customWidth="1"/>
    <col min="9988" max="9988" width="18.42578125" style="350" customWidth="1"/>
    <col min="9989" max="9989" width="17.42578125" style="350" customWidth="1"/>
    <col min="9990" max="9990" width="14.7109375" style="350" customWidth="1"/>
    <col min="9991" max="9991" width="25.7109375" style="350" bestFit="1" customWidth="1"/>
    <col min="9992" max="9996" width="0" style="350" hidden="1" customWidth="1"/>
    <col min="9997" max="9997" width="18" style="350" bestFit="1" customWidth="1"/>
    <col min="9998" max="9998" width="14.5703125" style="350" bestFit="1" customWidth="1"/>
    <col min="9999" max="9999" width="14.85546875" style="350" bestFit="1" customWidth="1"/>
    <col min="10000" max="10000" width="17.7109375" style="350" bestFit="1" customWidth="1"/>
    <col min="10001" max="10001" width="15.85546875" style="350" bestFit="1" customWidth="1"/>
    <col min="10002" max="10003" width="14.85546875" style="350" bestFit="1" customWidth="1"/>
    <col min="10004" max="10004" width="13.28515625" style="350" bestFit="1" customWidth="1"/>
    <col min="10005" max="10005" width="18" style="350" customWidth="1"/>
    <col min="10006" max="10006" width="19" style="350" customWidth="1"/>
    <col min="10007" max="10007" width="14.5703125" style="350" customWidth="1"/>
    <col min="10008" max="10242" width="11.42578125" style="350"/>
    <col min="10243" max="10243" width="63.42578125" style="350" customWidth="1"/>
    <col min="10244" max="10244" width="18.42578125" style="350" customWidth="1"/>
    <col min="10245" max="10245" width="17.42578125" style="350" customWidth="1"/>
    <col min="10246" max="10246" width="14.7109375" style="350" customWidth="1"/>
    <col min="10247" max="10247" width="25.7109375" style="350" bestFit="1" customWidth="1"/>
    <col min="10248" max="10252" width="0" style="350" hidden="1" customWidth="1"/>
    <col min="10253" max="10253" width="18" style="350" bestFit="1" customWidth="1"/>
    <col min="10254" max="10254" width="14.5703125" style="350" bestFit="1" customWidth="1"/>
    <col min="10255" max="10255" width="14.85546875" style="350" bestFit="1" customWidth="1"/>
    <col min="10256" max="10256" width="17.7109375" style="350" bestFit="1" customWidth="1"/>
    <col min="10257" max="10257" width="15.85546875" style="350" bestFit="1" customWidth="1"/>
    <col min="10258" max="10259" width="14.85546875" style="350" bestFit="1" customWidth="1"/>
    <col min="10260" max="10260" width="13.28515625" style="350" bestFit="1" customWidth="1"/>
    <col min="10261" max="10261" width="18" style="350" customWidth="1"/>
    <col min="10262" max="10262" width="19" style="350" customWidth="1"/>
    <col min="10263" max="10263" width="14.5703125" style="350" customWidth="1"/>
    <col min="10264" max="10498" width="11.42578125" style="350"/>
    <col min="10499" max="10499" width="63.42578125" style="350" customWidth="1"/>
    <col min="10500" max="10500" width="18.42578125" style="350" customWidth="1"/>
    <col min="10501" max="10501" width="17.42578125" style="350" customWidth="1"/>
    <col min="10502" max="10502" width="14.7109375" style="350" customWidth="1"/>
    <col min="10503" max="10503" width="25.7109375" style="350" bestFit="1" customWidth="1"/>
    <col min="10504" max="10508" width="0" style="350" hidden="1" customWidth="1"/>
    <col min="10509" max="10509" width="18" style="350" bestFit="1" customWidth="1"/>
    <col min="10510" max="10510" width="14.5703125" style="350" bestFit="1" customWidth="1"/>
    <col min="10511" max="10511" width="14.85546875" style="350" bestFit="1" customWidth="1"/>
    <col min="10512" max="10512" width="17.7109375" style="350" bestFit="1" customWidth="1"/>
    <col min="10513" max="10513" width="15.85546875" style="350" bestFit="1" customWidth="1"/>
    <col min="10514" max="10515" width="14.85546875" style="350" bestFit="1" customWidth="1"/>
    <col min="10516" max="10516" width="13.28515625" style="350" bestFit="1" customWidth="1"/>
    <col min="10517" max="10517" width="18" style="350" customWidth="1"/>
    <col min="10518" max="10518" width="19" style="350" customWidth="1"/>
    <col min="10519" max="10519" width="14.5703125" style="350" customWidth="1"/>
    <col min="10520" max="10754" width="11.42578125" style="350"/>
    <col min="10755" max="10755" width="63.42578125" style="350" customWidth="1"/>
    <col min="10756" max="10756" width="18.42578125" style="350" customWidth="1"/>
    <col min="10757" max="10757" width="17.42578125" style="350" customWidth="1"/>
    <col min="10758" max="10758" width="14.7109375" style="350" customWidth="1"/>
    <col min="10759" max="10759" width="25.7109375" style="350" bestFit="1" customWidth="1"/>
    <col min="10760" max="10764" width="0" style="350" hidden="1" customWidth="1"/>
    <col min="10765" max="10765" width="18" style="350" bestFit="1" customWidth="1"/>
    <col min="10766" max="10766" width="14.5703125" style="350" bestFit="1" customWidth="1"/>
    <col min="10767" max="10767" width="14.85546875" style="350" bestFit="1" customWidth="1"/>
    <col min="10768" max="10768" width="17.7109375" style="350" bestFit="1" customWidth="1"/>
    <col min="10769" max="10769" width="15.85546875" style="350" bestFit="1" customWidth="1"/>
    <col min="10770" max="10771" width="14.85546875" style="350" bestFit="1" customWidth="1"/>
    <col min="10772" max="10772" width="13.28515625" style="350" bestFit="1" customWidth="1"/>
    <col min="10773" max="10773" width="18" style="350" customWidth="1"/>
    <col min="10774" max="10774" width="19" style="350" customWidth="1"/>
    <col min="10775" max="10775" width="14.5703125" style="350" customWidth="1"/>
    <col min="10776" max="11010" width="11.42578125" style="350"/>
    <col min="11011" max="11011" width="63.42578125" style="350" customWidth="1"/>
    <col min="11012" max="11012" width="18.42578125" style="350" customWidth="1"/>
    <col min="11013" max="11013" width="17.42578125" style="350" customWidth="1"/>
    <col min="11014" max="11014" width="14.7109375" style="350" customWidth="1"/>
    <col min="11015" max="11015" width="25.7109375" style="350" bestFit="1" customWidth="1"/>
    <col min="11016" max="11020" width="0" style="350" hidden="1" customWidth="1"/>
    <col min="11021" max="11021" width="18" style="350" bestFit="1" customWidth="1"/>
    <col min="11022" max="11022" width="14.5703125" style="350" bestFit="1" customWidth="1"/>
    <col min="11023" max="11023" width="14.85546875" style="350" bestFit="1" customWidth="1"/>
    <col min="11024" max="11024" width="17.7109375" style="350" bestFit="1" customWidth="1"/>
    <col min="11025" max="11025" width="15.85546875" style="350" bestFit="1" customWidth="1"/>
    <col min="11026" max="11027" width="14.85546875" style="350" bestFit="1" customWidth="1"/>
    <col min="11028" max="11028" width="13.28515625" style="350" bestFit="1" customWidth="1"/>
    <col min="11029" max="11029" width="18" style="350" customWidth="1"/>
    <col min="11030" max="11030" width="19" style="350" customWidth="1"/>
    <col min="11031" max="11031" width="14.5703125" style="350" customWidth="1"/>
    <col min="11032" max="11266" width="11.42578125" style="350"/>
    <col min="11267" max="11267" width="63.42578125" style="350" customWidth="1"/>
    <col min="11268" max="11268" width="18.42578125" style="350" customWidth="1"/>
    <col min="11269" max="11269" width="17.42578125" style="350" customWidth="1"/>
    <col min="11270" max="11270" width="14.7109375" style="350" customWidth="1"/>
    <col min="11271" max="11271" width="25.7109375" style="350" bestFit="1" customWidth="1"/>
    <col min="11272" max="11276" width="0" style="350" hidden="1" customWidth="1"/>
    <col min="11277" max="11277" width="18" style="350" bestFit="1" customWidth="1"/>
    <col min="11278" max="11278" width="14.5703125" style="350" bestFit="1" customWidth="1"/>
    <col min="11279" max="11279" width="14.85546875" style="350" bestFit="1" customWidth="1"/>
    <col min="11280" max="11280" width="17.7109375" style="350" bestFit="1" customWidth="1"/>
    <col min="11281" max="11281" width="15.85546875" style="350" bestFit="1" customWidth="1"/>
    <col min="11282" max="11283" width="14.85546875" style="350" bestFit="1" customWidth="1"/>
    <col min="11284" max="11284" width="13.28515625" style="350" bestFit="1" customWidth="1"/>
    <col min="11285" max="11285" width="18" style="350" customWidth="1"/>
    <col min="11286" max="11286" width="19" style="350" customWidth="1"/>
    <col min="11287" max="11287" width="14.5703125" style="350" customWidth="1"/>
    <col min="11288" max="11522" width="11.42578125" style="350"/>
    <col min="11523" max="11523" width="63.42578125" style="350" customWidth="1"/>
    <col min="11524" max="11524" width="18.42578125" style="350" customWidth="1"/>
    <col min="11525" max="11525" width="17.42578125" style="350" customWidth="1"/>
    <col min="11526" max="11526" width="14.7109375" style="350" customWidth="1"/>
    <col min="11527" max="11527" width="25.7109375" style="350" bestFit="1" customWidth="1"/>
    <col min="11528" max="11532" width="0" style="350" hidden="1" customWidth="1"/>
    <col min="11533" max="11533" width="18" style="350" bestFit="1" customWidth="1"/>
    <col min="11534" max="11534" width="14.5703125" style="350" bestFit="1" customWidth="1"/>
    <col min="11535" max="11535" width="14.85546875" style="350" bestFit="1" customWidth="1"/>
    <col min="11536" max="11536" width="17.7109375" style="350" bestFit="1" customWidth="1"/>
    <col min="11537" max="11537" width="15.85546875" style="350" bestFit="1" customWidth="1"/>
    <col min="11538" max="11539" width="14.85546875" style="350" bestFit="1" customWidth="1"/>
    <col min="11540" max="11540" width="13.28515625" style="350" bestFit="1" customWidth="1"/>
    <col min="11541" max="11541" width="18" style="350" customWidth="1"/>
    <col min="11542" max="11542" width="19" style="350" customWidth="1"/>
    <col min="11543" max="11543" width="14.5703125" style="350" customWidth="1"/>
    <col min="11544" max="11778" width="11.42578125" style="350"/>
    <col min="11779" max="11779" width="63.42578125" style="350" customWidth="1"/>
    <col min="11780" max="11780" width="18.42578125" style="350" customWidth="1"/>
    <col min="11781" max="11781" width="17.42578125" style="350" customWidth="1"/>
    <col min="11782" max="11782" width="14.7109375" style="350" customWidth="1"/>
    <col min="11783" max="11783" width="25.7109375" style="350" bestFit="1" customWidth="1"/>
    <col min="11784" max="11788" width="0" style="350" hidden="1" customWidth="1"/>
    <col min="11789" max="11789" width="18" style="350" bestFit="1" customWidth="1"/>
    <col min="11790" max="11790" width="14.5703125" style="350" bestFit="1" customWidth="1"/>
    <col min="11791" max="11791" width="14.85546875" style="350" bestFit="1" customWidth="1"/>
    <col min="11792" max="11792" width="17.7109375" style="350" bestFit="1" customWidth="1"/>
    <col min="11793" max="11793" width="15.85546875" style="350" bestFit="1" customWidth="1"/>
    <col min="11794" max="11795" width="14.85546875" style="350" bestFit="1" customWidth="1"/>
    <col min="11796" max="11796" width="13.28515625" style="350" bestFit="1" customWidth="1"/>
    <col min="11797" max="11797" width="18" style="350" customWidth="1"/>
    <col min="11798" max="11798" width="19" style="350" customWidth="1"/>
    <col min="11799" max="11799" width="14.5703125" style="350" customWidth="1"/>
    <col min="11800" max="12034" width="11.42578125" style="350"/>
    <col min="12035" max="12035" width="63.42578125" style="350" customWidth="1"/>
    <col min="12036" max="12036" width="18.42578125" style="350" customWidth="1"/>
    <col min="12037" max="12037" width="17.42578125" style="350" customWidth="1"/>
    <col min="12038" max="12038" width="14.7109375" style="350" customWidth="1"/>
    <col min="12039" max="12039" width="25.7109375" style="350" bestFit="1" customWidth="1"/>
    <col min="12040" max="12044" width="0" style="350" hidden="1" customWidth="1"/>
    <col min="12045" max="12045" width="18" style="350" bestFit="1" customWidth="1"/>
    <col min="12046" max="12046" width="14.5703125" style="350" bestFit="1" customWidth="1"/>
    <col min="12047" max="12047" width="14.85546875" style="350" bestFit="1" customWidth="1"/>
    <col min="12048" max="12048" width="17.7109375" style="350" bestFit="1" customWidth="1"/>
    <col min="12049" max="12049" width="15.85546875" style="350" bestFit="1" customWidth="1"/>
    <col min="12050" max="12051" width="14.85546875" style="350" bestFit="1" customWidth="1"/>
    <col min="12052" max="12052" width="13.28515625" style="350" bestFit="1" customWidth="1"/>
    <col min="12053" max="12053" width="18" style="350" customWidth="1"/>
    <col min="12054" max="12054" width="19" style="350" customWidth="1"/>
    <col min="12055" max="12055" width="14.5703125" style="350" customWidth="1"/>
    <col min="12056" max="12290" width="11.42578125" style="350"/>
    <col min="12291" max="12291" width="63.42578125" style="350" customWidth="1"/>
    <col min="12292" max="12292" width="18.42578125" style="350" customWidth="1"/>
    <col min="12293" max="12293" width="17.42578125" style="350" customWidth="1"/>
    <col min="12294" max="12294" width="14.7109375" style="350" customWidth="1"/>
    <col min="12295" max="12295" width="25.7109375" style="350" bestFit="1" customWidth="1"/>
    <col min="12296" max="12300" width="0" style="350" hidden="1" customWidth="1"/>
    <col min="12301" max="12301" width="18" style="350" bestFit="1" customWidth="1"/>
    <col min="12302" max="12302" width="14.5703125" style="350" bestFit="1" customWidth="1"/>
    <col min="12303" max="12303" width="14.85546875" style="350" bestFit="1" customWidth="1"/>
    <col min="12304" max="12304" width="17.7109375" style="350" bestFit="1" customWidth="1"/>
    <col min="12305" max="12305" width="15.85546875" style="350" bestFit="1" customWidth="1"/>
    <col min="12306" max="12307" width="14.85546875" style="350" bestFit="1" customWidth="1"/>
    <col min="12308" max="12308" width="13.28515625" style="350" bestFit="1" customWidth="1"/>
    <col min="12309" max="12309" width="18" style="350" customWidth="1"/>
    <col min="12310" max="12310" width="19" style="350" customWidth="1"/>
    <col min="12311" max="12311" width="14.5703125" style="350" customWidth="1"/>
    <col min="12312" max="12546" width="11.42578125" style="350"/>
    <col min="12547" max="12547" width="63.42578125" style="350" customWidth="1"/>
    <col min="12548" max="12548" width="18.42578125" style="350" customWidth="1"/>
    <col min="12549" max="12549" width="17.42578125" style="350" customWidth="1"/>
    <col min="12550" max="12550" width="14.7109375" style="350" customWidth="1"/>
    <col min="12551" max="12551" width="25.7109375" style="350" bestFit="1" customWidth="1"/>
    <col min="12552" max="12556" width="0" style="350" hidden="1" customWidth="1"/>
    <col min="12557" max="12557" width="18" style="350" bestFit="1" customWidth="1"/>
    <col min="12558" max="12558" width="14.5703125" style="350" bestFit="1" customWidth="1"/>
    <col min="12559" max="12559" width="14.85546875" style="350" bestFit="1" customWidth="1"/>
    <col min="12560" max="12560" width="17.7109375" style="350" bestFit="1" customWidth="1"/>
    <col min="12561" max="12561" width="15.85546875" style="350" bestFit="1" customWidth="1"/>
    <col min="12562" max="12563" width="14.85546875" style="350" bestFit="1" customWidth="1"/>
    <col min="12564" max="12564" width="13.28515625" style="350" bestFit="1" customWidth="1"/>
    <col min="12565" max="12565" width="18" style="350" customWidth="1"/>
    <col min="12566" max="12566" width="19" style="350" customWidth="1"/>
    <col min="12567" max="12567" width="14.5703125" style="350" customWidth="1"/>
    <col min="12568" max="12802" width="11.42578125" style="350"/>
    <col min="12803" max="12803" width="63.42578125" style="350" customWidth="1"/>
    <col min="12804" max="12804" width="18.42578125" style="350" customWidth="1"/>
    <col min="12805" max="12805" width="17.42578125" style="350" customWidth="1"/>
    <col min="12806" max="12806" width="14.7109375" style="350" customWidth="1"/>
    <col min="12807" max="12807" width="25.7109375" style="350" bestFit="1" customWidth="1"/>
    <col min="12808" max="12812" width="0" style="350" hidden="1" customWidth="1"/>
    <col min="12813" max="12813" width="18" style="350" bestFit="1" customWidth="1"/>
    <col min="12814" max="12814" width="14.5703125" style="350" bestFit="1" customWidth="1"/>
    <col min="12815" max="12815" width="14.85546875" style="350" bestFit="1" customWidth="1"/>
    <col min="12816" max="12816" width="17.7109375" style="350" bestFit="1" customWidth="1"/>
    <col min="12817" max="12817" width="15.85546875" style="350" bestFit="1" customWidth="1"/>
    <col min="12818" max="12819" width="14.85546875" style="350" bestFit="1" customWidth="1"/>
    <col min="12820" max="12820" width="13.28515625" style="350" bestFit="1" customWidth="1"/>
    <col min="12821" max="12821" width="18" style="350" customWidth="1"/>
    <col min="12822" max="12822" width="19" style="350" customWidth="1"/>
    <col min="12823" max="12823" width="14.5703125" style="350" customWidth="1"/>
    <col min="12824" max="13058" width="11.42578125" style="350"/>
    <col min="13059" max="13059" width="63.42578125" style="350" customWidth="1"/>
    <col min="13060" max="13060" width="18.42578125" style="350" customWidth="1"/>
    <col min="13061" max="13061" width="17.42578125" style="350" customWidth="1"/>
    <col min="13062" max="13062" width="14.7109375" style="350" customWidth="1"/>
    <col min="13063" max="13063" width="25.7109375" style="350" bestFit="1" customWidth="1"/>
    <col min="13064" max="13068" width="0" style="350" hidden="1" customWidth="1"/>
    <col min="13069" max="13069" width="18" style="350" bestFit="1" customWidth="1"/>
    <col min="13070" max="13070" width="14.5703125" style="350" bestFit="1" customWidth="1"/>
    <col min="13071" max="13071" width="14.85546875" style="350" bestFit="1" customWidth="1"/>
    <col min="13072" max="13072" width="17.7109375" style="350" bestFit="1" customWidth="1"/>
    <col min="13073" max="13073" width="15.85546875" style="350" bestFit="1" customWidth="1"/>
    <col min="13074" max="13075" width="14.85546875" style="350" bestFit="1" customWidth="1"/>
    <col min="13076" max="13076" width="13.28515625" style="350" bestFit="1" customWidth="1"/>
    <col min="13077" max="13077" width="18" style="350" customWidth="1"/>
    <col min="13078" max="13078" width="19" style="350" customWidth="1"/>
    <col min="13079" max="13079" width="14.5703125" style="350" customWidth="1"/>
    <col min="13080" max="13314" width="11.42578125" style="350"/>
    <col min="13315" max="13315" width="63.42578125" style="350" customWidth="1"/>
    <col min="13316" max="13316" width="18.42578125" style="350" customWidth="1"/>
    <col min="13317" max="13317" width="17.42578125" style="350" customWidth="1"/>
    <col min="13318" max="13318" width="14.7109375" style="350" customWidth="1"/>
    <col min="13319" max="13319" width="25.7109375" style="350" bestFit="1" customWidth="1"/>
    <col min="13320" max="13324" width="0" style="350" hidden="1" customWidth="1"/>
    <col min="13325" max="13325" width="18" style="350" bestFit="1" customWidth="1"/>
    <col min="13326" max="13326" width="14.5703125" style="350" bestFit="1" customWidth="1"/>
    <col min="13327" max="13327" width="14.85546875" style="350" bestFit="1" customWidth="1"/>
    <col min="13328" max="13328" width="17.7109375" style="350" bestFit="1" customWidth="1"/>
    <col min="13329" max="13329" width="15.85546875" style="350" bestFit="1" customWidth="1"/>
    <col min="13330" max="13331" width="14.85546875" style="350" bestFit="1" customWidth="1"/>
    <col min="13332" max="13332" width="13.28515625" style="350" bestFit="1" customWidth="1"/>
    <col min="13333" max="13333" width="18" style="350" customWidth="1"/>
    <col min="13334" max="13334" width="19" style="350" customWidth="1"/>
    <col min="13335" max="13335" width="14.5703125" style="350" customWidth="1"/>
    <col min="13336" max="13570" width="11.42578125" style="350"/>
    <col min="13571" max="13571" width="63.42578125" style="350" customWidth="1"/>
    <col min="13572" max="13572" width="18.42578125" style="350" customWidth="1"/>
    <col min="13573" max="13573" width="17.42578125" style="350" customWidth="1"/>
    <col min="13574" max="13574" width="14.7109375" style="350" customWidth="1"/>
    <col min="13575" max="13575" width="25.7109375" style="350" bestFit="1" customWidth="1"/>
    <col min="13576" max="13580" width="0" style="350" hidden="1" customWidth="1"/>
    <col min="13581" max="13581" width="18" style="350" bestFit="1" customWidth="1"/>
    <col min="13582" max="13582" width="14.5703125" style="350" bestFit="1" customWidth="1"/>
    <col min="13583" max="13583" width="14.85546875" style="350" bestFit="1" customWidth="1"/>
    <col min="13584" max="13584" width="17.7109375" style="350" bestFit="1" customWidth="1"/>
    <col min="13585" max="13585" width="15.85546875" style="350" bestFit="1" customWidth="1"/>
    <col min="13586" max="13587" width="14.85546875" style="350" bestFit="1" customWidth="1"/>
    <col min="13588" max="13588" width="13.28515625" style="350" bestFit="1" customWidth="1"/>
    <col min="13589" max="13589" width="18" style="350" customWidth="1"/>
    <col min="13590" max="13590" width="19" style="350" customWidth="1"/>
    <col min="13591" max="13591" width="14.5703125" style="350" customWidth="1"/>
    <col min="13592" max="13826" width="11.42578125" style="350"/>
    <col min="13827" max="13827" width="63.42578125" style="350" customWidth="1"/>
    <col min="13828" max="13828" width="18.42578125" style="350" customWidth="1"/>
    <col min="13829" max="13829" width="17.42578125" style="350" customWidth="1"/>
    <col min="13830" max="13830" width="14.7109375" style="350" customWidth="1"/>
    <col min="13831" max="13831" width="25.7109375" style="350" bestFit="1" customWidth="1"/>
    <col min="13832" max="13836" width="0" style="350" hidden="1" customWidth="1"/>
    <col min="13837" max="13837" width="18" style="350" bestFit="1" customWidth="1"/>
    <col min="13838" max="13838" width="14.5703125" style="350" bestFit="1" customWidth="1"/>
    <col min="13839" max="13839" width="14.85546875" style="350" bestFit="1" customWidth="1"/>
    <col min="13840" max="13840" width="17.7109375" style="350" bestFit="1" customWidth="1"/>
    <col min="13841" max="13841" width="15.85546875" style="350" bestFit="1" customWidth="1"/>
    <col min="13842" max="13843" width="14.85546875" style="350" bestFit="1" customWidth="1"/>
    <col min="13844" max="13844" width="13.28515625" style="350" bestFit="1" customWidth="1"/>
    <col min="13845" max="13845" width="18" style="350" customWidth="1"/>
    <col min="13846" max="13846" width="19" style="350" customWidth="1"/>
    <col min="13847" max="13847" width="14.5703125" style="350" customWidth="1"/>
    <col min="13848" max="14082" width="11.42578125" style="350"/>
    <col min="14083" max="14083" width="63.42578125" style="350" customWidth="1"/>
    <col min="14084" max="14084" width="18.42578125" style="350" customWidth="1"/>
    <col min="14085" max="14085" width="17.42578125" style="350" customWidth="1"/>
    <col min="14086" max="14086" width="14.7109375" style="350" customWidth="1"/>
    <col min="14087" max="14087" width="25.7109375" style="350" bestFit="1" customWidth="1"/>
    <col min="14088" max="14092" width="0" style="350" hidden="1" customWidth="1"/>
    <col min="14093" max="14093" width="18" style="350" bestFit="1" customWidth="1"/>
    <col min="14094" max="14094" width="14.5703125" style="350" bestFit="1" customWidth="1"/>
    <col min="14095" max="14095" width="14.85546875" style="350" bestFit="1" customWidth="1"/>
    <col min="14096" max="14096" width="17.7109375" style="350" bestFit="1" customWidth="1"/>
    <col min="14097" max="14097" width="15.85546875" style="350" bestFit="1" customWidth="1"/>
    <col min="14098" max="14099" width="14.85546875" style="350" bestFit="1" customWidth="1"/>
    <col min="14100" max="14100" width="13.28515625" style="350" bestFit="1" customWidth="1"/>
    <col min="14101" max="14101" width="18" style="350" customWidth="1"/>
    <col min="14102" max="14102" width="19" style="350" customWidth="1"/>
    <col min="14103" max="14103" width="14.5703125" style="350" customWidth="1"/>
    <col min="14104" max="14338" width="11.42578125" style="350"/>
    <col min="14339" max="14339" width="63.42578125" style="350" customWidth="1"/>
    <col min="14340" max="14340" width="18.42578125" style="350" customWidth="1"/>
    <col min="14341" max="14341" width="17.42578125" style="350" customWidth="1"/>
    <col min="14342" max="14342" width="14.7109375" style="350" customWidth="1"/>
    <col min="14343" max="14343" width="25.7109375" style="350" bestFit="1" customWidth="1"/>
    <col min="14344" max="14348" width="0" style="350" hidden="1" customWidth="1"/>
    <col min="14349" max="14349" width="18" style="350" bestFit="1" customWidth="1"/>
    <col min="14350" max="14350" width="14.5703125" style="350" bestFit="1" customWidth="1"/>
    <col min="14351" max="14351" width="14.85546875" style="350" bestFit="1" customWidth="1"/>
    <col min="14352" max="14352" width="17.7109375" style="350" bestFit="1" customWidth="1"/>
    <col min="14353" max="14353" width="15.85546875" style="350" bestFit="1" customWidth="1"/>
    <col min="14354" max="14355" width="14.85546875" style="350" bestFit="1" customWidth="1"/>
    <col min="14356" max="14356" width="13.28515625" style="350" bestFit="1" customWidth="1"/>
    <col min="14357" max="14357" width="18" style="350" customWidth="1"/>
    <col min="14358" max="14358" width="19" style="350" customWidth="1"/>
    <col min="14359" max="14359" width="14.5703125" style="350" customWidth="1"/>
    <col min="14360" max="14594" width="11.42578125" style="350"/>
    <col min="14595" max="14595" width="63.42578125" style="350" customWidth="1"/>
    <col min="14596" max="14596" width="18.42578125" style="350" customWidth="1"/>
    <col min="14597" max="14597" width="17.42578125" style="350" customWidth="1"/>
    <col min="14598" max="14598" width="14.7109375" style="350" customWidth="1"/>
    <col min="14599" max="14599" width="25.7109375" style="350" bestFit="1" customWidth="1"/>
    <col min="14600" max="14604" width="0" style="350" hidden="1" customWidth="1"/>
    <col min="14605" max="14605" width="18" style="350" bestFit="1" customWidth="1"/>
    <col min="14606" max="14606" width="14.5703125" style="350" bestFit="1" customWidth="1"/>
    <col min="14607" max="14607" width="14.85546875" style="350" bestFit="1" customWidth="1"/>
    <col min="14608" max="14608" width="17.7109375" style="350" bestFit="1" customWidth="1"/>
    <col min="14609" max="14609" width="15.85546875" style="350" bestFit="1" customWidth="1"/>
    <col min="14610" max="14611" width="14.85546875" style="350" bestFit="1" customWidth="1"/>
    <col min="14612" max="14612" width="13.28515625" style="350" bestFit="1" customWidth="1"/>
    <col min="14613" max="14613" width="18" style="350" customWidth="1"/>
    <col min="14614" max="14614" width="19" style="350" customWidth="1"/>
    <col min="14615" max="14615" width="14.5703125" style="350" customWidth="1"/>
    <col min="14616" max="14850" width="11.42578125" style="350"/>
    <col min="14851" max="14851" width="63.42578125" style="350" customWidth="1"/>
    <col min="14852" max="14852" width="18.42578125" style="350" customWidth="1"/>
    <col min="14853" max="14853" width="17.42578125" style="350" customWidth="1"/>
    <col min="14854" max="14854" width="14.7109375" style="350" customWidth="1"/>
    <col min="14855" max="14855" width="25.7109375" style="350" bestFit="1" customWidth="1"/>
    <col min="14856" max="14860" width="0" style="350" hidden="1" customWidth="1"/>
    <col min="14861" max="14861" width="18" style="350" bestFit="1" customWidth="1"/>
    <col min="14862" max="14862" width="14.5703125" style="350" bestFit="1" customWidth="1"/>
    <col min="14863" max="14863" width="14.85546875" style="350" bestFit="1" customWidth="1"/>
    <col min="14864" max="14864" width="17.7109375" style="350" bestFit="1" customWidth="1"/>
    <col min="14865" max="14865" width="15.85546875" style="350" bestFit="1" customWidth="1"/>
    <col min="14866" max="14867" width="14.85546875" style="350" bestFit="1" customWidth="1"/>
    <col min="14868" max="14868" width="13.28515625" style="350" bestFit="1" customWidth="1"/>
    <col min="14869" max="14869" width="18" style="350" customWidth="1"/>
    <col min="14870" max="14870" width="19" style="350" customWidth="1"/>
    <col min="14871" max="14871" width="14.5703125" style="350" customWidth="1"/>
    <col min="14872" max="15106" width="11.42578125" style="350"/>
    <col min="15107" max="15107" width="63.42578125" style="350" customWidth="1"/>
    <col min="15108" max="15108" width="18.42578125" style="350" customWidth="1"/>
    <col min="15109" max="15109" width="17.42578125" style="350" customWidth="1"/>
    <col min="15110" max="15110" width="14.7109375" style="350" customWidth="1"/>
    <col min="15111" max="15111" width="25.7109375" style="350" bestFit="1" customWidth="1"/>
    <col min="15112" max="15116" width="0" style="350" hidden="1" customWidth="1"/>
    <col min="15117" max="15117" width="18" style="350" bestFit="1" customWidth="1"/>
    <col min="15118" max="15118" width="14.5703125" style="350" bestFit="1" customWidth="1"/>
    <col min="15119" max="15119" width="14.85546875" style="350" bestFit="1" customWidth="1"/>
    <col min="15120" max="15120" width="17.7109375" style="350" bestFit="1" customWidth="1"/>
    <col min="15121" max="15121" width="15.85546875" style="350" bestFit="1" customWidth="1"/>
    <col min="15122" max="15123" width="14.85546875" style="350" bestFit="1" customWidth="1"/>
    <col min="15124" max="15124" width="13.28515625" style="350" bestFit="1" customWidth="1"/>
    <col min="15125" max="15125" width="18" style="350" customWidth="1"/>
    <col min="15126" max="15126" width="19" style="350" customWidth="1"/>
    <col min="15127" max="15127" width="14.5703125" style="350" customWidth="1"/>
    <col min="15128" max="15362" width="11.42578125" style="350"/>
    <col min="15363" max="15363" width="63.42578125" style="350" customWidth="1"/>
    <col min="15364" max="15364" width="18.42578125" style="350" customWidth="1"/>
    <col min="15365" max="15365" width="17.42578125" style="350" customWidth="1"/>
    <col min="15366" max="15366" width="14.7109375" style="350" customWidth="1"/>
    <col min="15367" max="15367" width="25.7109375" style="350" bestFit="1" customWidth="1"/>
    <col min="15368" max="15372" width="0" style="350" hidden="1" customWidth="1"/>
    <col min="15373" max="15373" width="18" style="350" bestFit="1" customWidth="1"/>
    <col min="15374" max="15374" width="14.5703125" style="350" bestFit="1" customWidth="1"/>
    <col min="15375" max="15375" width="14.85546875" style="350" bestFit="1" customWidth="1"/>
    <col min="15376" max="15376" width="17.7109375" style="350" bestFit="1" customWidth="1"/>
    <col min="15377" max="15377" width="15.85546875" style="350" bestFit="1" customWidth="1"/>
    <col min="15378" max="15379" width="14.85546875" style="350" bestFit="1" customWidth="1"/>
    <col min="15380" max="15380" width="13.28515625" style="350" bestFit="1" customWidth="1"/>
    <col min="15381" max="15381" width="18" style="350" customWidth="1"/>
    <col min="15382" max="15382" width="19" style="350" customWidth="1"/>
    <col min="15383" max="15383" width="14.5703125" style="350" customWidth="1"/>
    <col min="15384" max="15618" width="11.42578125" style="350"/>
    <col min="15619" max="15619" width="63.42578125" style="350" customWidth="1"/>
    <col min="15620" max="15620" width="18.42578125" style="350" customWidth="1"/>
    <col min="15621" max="15621" width="17.42578125" style="350" customWidth="1"/>
    <col min="15622" max="15622" width="14.7109375" style="350" customWidth="1"/>
    <col min="15623" max="15623" width="25.7109375" style="350" bestFit="1" customWidth="1"/>
    <col min="15624" max="15628" width="0" style="350" hidden="1" customWidth="1"/>
    <col min="15629" max="15629" width="18" style="350" bestFit="1" customWidth="1"/>
    <col min="15630" max="15630" width="14.5703125" style="350" bestFit="1" customWidth="1"/>
    <col min="15631" max="15631" width="14.85546875" style="350" bestFit="1" customWidth="1"/>
    <col min="15632" max="15632" width="17.7109375" style="350" bestFit="1" customWidth="1"/>
    <col min="15633" max="15633" width="15.85546875" style="350" bestFit="1" customWidth="1"/>
    <col min="15634" max="15635" width="14.85546875" style="350" bestFit="1" customWidth="1"/>
    <col min="15636" max="15636" width="13.28515625" style="350" bestFit="1" customWidth="1"/>
    <col min="15637" max="15637" width="18" style="350" customWidth="1"/>
    <col min="15638" max="15638" width="19" style="350" customWidth="1"/>
    <col min="15639" max="15639" width="14.5703125" style="350" customWidth="1"/>
    <col min="15640" max="15874" width="11.42578125" style="350"/>
    <col min="15875" max="15875" width="63.42578125" style="350" customWidth="1"/>
    <col min="15876" max="15876" width="18.42578125" style="350" customWidth="1"/>
    <col min="15877" max="15877" width="17.42578125" style="350" customWidth="1"/>
    <col min="15878" max="15878" width="14.7109375" style="350" customWidth="1"/>
    <col min="15879" max="15879" width="25.7109375" style="350" bestFit="1" customWidth="1"/>
    <col min="15880" max="15884" width="0" style="350" hidden="1" customWidth="1"/>
    <col min="15885" max="15885" width="18" style="350" bestFit="1" customWidth="1"/>
    <col min="15886" max="15886" width="14.5703125" style="350" bestFit="1" customWidth="1"/>
    <col min="15887" max="15887" width="14.85546875" style="350" bestFit="1" customWidth="1"/>
    <col min="15888" max="15888" width="17.7109375" style="350" bestFit="1" customWidth="1"/>
    <col min="15889" max="15889" width="15.85546875" style="350" bestFit="1" customWidth="1"/>
    <col min="15890" max="15891" width="14.85546875" style="350" bestFit="1" customWidth="1"/>
    <col min="15892" max="15892" width="13.28515625" style="350" bestFit="1" customWidth="1"/>
    <col min="15893" max="15893" width="18" style="350" customWidth="1"/>
    <col min="15894" max="15894" width="19" style="350" customWidth="1"/>
    <col min="15895" max="15895" width="14.5703125" style="350" customWidth="1"/>
    <col min="15896" max="16130" width="11.42578125" style="350"/>
    <col min="16131" max="16131" width="63.42578125" style="350" customWidth="1"/>
    <col min="16132" max="16132" width="18.42578125" style="350" customWidth="1"/>
    <col min="16133" max="16133" width="17.42578125" style="350" customWidth="1"/>
    <col min="16134" max="16134" width="14.7109375" style="350" customWidth="1"/>
    <col min="16135" max="16135" width="25.7109375" style="350" bestFit="1" customWidth="1"/>
    <col min="16136" max="16140" width="0" style="350" hidden="1" customWidth="1"/>
    <col min="16141" max="16141" width="18" style="350" bestFit="1" customWidth="1"/>
    <col min="16142" max="16142" width="14.5703125" style="350" bestFit="1" customWidth="1"/>
    <col min="16143" max="16143" width="14.85546875" style="350" bestFit="1" customWidth="1"/>
    <col min="16144" max="16144" width="17.7109375" style="350" bestFit="1" customWidth="1"/>
    <col min="16145" max="16145" width="15.85546875" style="350" bestFit="1" customWidth="1"/>
    <col min="16146" max="16147" width="14.85546875" style="350" bestFit="1" customWidth="1"/>
    <col min="16148" max="16148" width="13.28515625" style="350" bestFit="1" customWidth="1"/>
    <col min="16149" max="16149" width="18" style="350" customWidth="1"/>
    <col min="16150" max="16150" width="19" style="350" customWidth="1"/>
    <col min="16151" max="16151" width="14.5703125" style="350" customWidth="1"/>
    <col min="16152" max="16384" width="11.42578125" style="350"/>
  </cols>
  <sheetData>
    <row r="1" spans="1:25">
      <c r="A1" s="152" t="s">
        <v>25</v>
      </c>
      <c r="B1" s="356"/>
      <c r="C1" s="382"/>
      <c r="D1" s="357"/>
      <c r="E1" s="356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</row>
    <row r="2" spans="1:25" ht="12.75" customHeight="1">
      <c r="A2" s="903" t="s">
        <v>26</v>
      </c>
      <c r="B2" s="903"/>
      <c r="C2" s="903"/>
      <c r="D2" s="903"/>
      <c r="E2" s="903"/>
      <c r="F2" s="903"/>
      <c r="G2" s="903"/>
      <c r="H2" s="903"/>
      <c r="I2" s="358"/>
      <c r="J2" s="358"/>
      <c r="K2" s="358"/>
      <c r="L2" s="358"/>
      <c r="M2" s="358"/>
      <c r="N2" s="357"/>
      <c r="O2" s="357"/>
      <c r="P2" s="357"/>
      <c r="Q2" s="357"/>
      <c r="R2" s="357"/>
      <c r="S2" s="357"/>
      <c r="T2" s="357"/>
      <c r="U2" s="357"/>
      <c r="V2" s="357"/>
      <c r="W2" s="357"/>
    </row>
    <row r="3" spans="1:25" ht="12.75" customHeight="1">
      <c r="A3" s="903" t="s">
        <v>1014</v>
      </c>
      <c r="B3" s="903"/>
      <c r="C3" s="903"/>
      <c r="D3" s="903"/>
      <c r="E3" s="903"/>
      <c r="F3" s="903"/>
      <c r="G3" s="903"/>
      <c r="H3" s="903"/>
      <c r="I3" s="359"/>
      <c r="J3" s="359"/>
      <c r="K3" s="359"/>
      <c r="L3" s="359"/>
      <c r="M3" s="359"/>
      <c r="N3" s="357"/>
      <c r="O3" s="357"/>
      <c r="P3" s="357"/>
      <c r="Q3" s="357"/>
      <c r="R3" s="357"/>
      <c r="S3" s="357"/>
      <c r="T3" s="357"/>
      <c r="U3" s="357"/>
      <c r="V3" s="357"/>
      <c r="W3" s="357"/>
    </row>
    <row r="4" spans="1:25" ht="21.75" customHeight="1" thickBot="1">
      <c r="A4" s="903" t="s">
        <v>28</v>
      </c>
      <c r="B4" s="903"/>
      <c r="C4" s="903"/>
      <c r="D4" s="903"/>
      <c r="E4" s="903"/>
      <c r="F4" s="903"/>
      <c r="G4" s="903"/>
      <c r="H4" s="903"/>
      <c r="I4" s="359"/>
      <c r="J4" s="359"/>
      <c r="K4" s="359"/>
      <c r="L4" s="359"/>
      <c r="M4" s="359"/>
      <c r="N4" s="357"/>
      <c r="O4" s="357"/>
      <c r="P4" s="357"/>
      <c r="Q4" s="357"/>
      <c r="R4" s="357"/>
      <c r="S4" s="357"/>
      <c r="T4" s="357"/>
      <c r="U4" s="357"/>
      <c r="V4" s="357"/>
      <c r="W4" s="357"/>
    </row>
    <row r="5" spans="1:25" s="389" customFormat="1">
      <c r="A5" s="910" t="s">
        <v>462</v>
      </c>
      <c r="B5" s="912" t="s">
        <v>36</v>
      </c>
      <c r="C5" s="884" t="s">
        <v>100</v>
      </c>
      <c r="D5" s="915" t="s">
        <v>37</v>
      </c>
      <c r="E5" s="917" t="s">
        <v>38</v>
      </c>
      <c r="F5" s="904" t="s">
        <v>165</v>
      </c>
      <c r="G5" s="905"/>
      <c r="H5" s="905"/>
      <c r="I5" s="905"/>
      <c r="J5" s="905"/>
      <c r="K5" s="905"/>
      <c r="L5" s="905"/>
      <c r="M5" s="905"/>
      <c r="N5" s="905"/>
      <c r="O5" s="905"/>
      <c r="P5" s="905"/>
      <c r="Q5" s="905"/>
      <c r="R5" s="905"/>
      <c r="S5" s="905"/>
      <c r="T5" s="905"/>
      <c r="U5" s="905"/>
      <c r="V5" s="905"/>
      <c r="W5" s="906"/>
      <c r="X5" s="388"/>
      <c r="Y5" s="388"/>
    </row>
    <row r="6" spans="1:25" s="389" customFormat="1" ht="18.75" customHeight="1" thickBot="1">
      <c r="A6" s="911" t="s">
        <v>29</v>
      </c>
      <c r="B6" s="913"/>
      <c r="C6" s="914"/>
      <c r="D6" s="916"/>
      <c r="E6" s="913" t="s">
        <v>31</v>
      </c>
      <c r="F6" s="390">
        <v>11</v>
      </c>
      <c r="G6" s="390">
        <v>14</v>
      </c>
      <c r="H6" s="390">
        <v>15</v>
      </c>
      <c r="I6" s="390">
        <v>29</v>
      </c>
      <c r="J6" s="390">
        <v>63</v>
      </c>
      <c r="K6" s="390">
        <v>71</v>
      </c>
      <c r="L6" s="390">
        <v>72</v>
      </c>
      <c r="M6" s="390">
        <v>73</v>
      </c>
      <c r="N6" s="391">
        <v>131</v>
      </c>
      <c r="O6" s="391">
        <v>133</v>
      </c>
      <c r="P6" s="391" t="s">
        <v>1015</v>
      </c>
      <c r="Q6" s="391">
        <v>183</v>
      </c>
      <c r="R6" s="391">
        <v>184</v>
      </c>
      <c r="S6" s="391" t="s">
        <v>1016</v>
      </c>
      <c r="T6" s="391">
        <v>186</v>
      </c>
      <c r="U6" s="391">
        <v>189</v>
      </c>
      <c r="V6" s="391">
        <v>413</v>
      </c>
      <c r="W6" s="392">
        <v>415</v>
      </c>
      <c r="X6" s="388"/>
      <c r="Y6" s="388"/>
    </row>
    <row r="7" spans="1:25" s="351" customFormat="1" ht="15" customHeight="1">
      <c r="A7" s="703" t="s">
        <v>691</v>
      </c>
      <c r="B7" s="386">
        <v>1</v>
      </c>
      <c r="C7" s="383">
        <v>12</v>
      </c>
      <c r="D7" s="379">
        <v>29282</v>
      </c>
      <c r="E7" s="153" t="s">
        <v>1017</v>
      </c>
      <c r="F7" s="379">
        <f>+B7*C7*D7</f>
        <v>351384</v>
      </c>
      <c r="G7" s="379">
        <f>+B7*C7*375</f>
        <v>4500</v>
      </c>
      <c r="H7" s="379">
        <f>+B7*C7*250</f>
        <v>3000</v>
      </c>
      <c r="I7" s="379">
        <v>0</v>
      </c>
      <c r="J7" s="379">
        <f>+B7*C7*11000</f>
        <v>132000</v>
      </c>
      <c r="K7" s="380">
        <f>(29282+375)*B7</f>
        <v>29657</v>
      </c>
      <c r="L7" s="380">
        <f t="shared" ref="L7:L15" si="0">+K7</f>
        <v>29657</v>
      </c>
      <c r="M7" s="380">
        <f t="shared" ref="M7:M15" si="1">200*B7</f>
        <v>200</v>
      </c>
      <c r="N7" s="381">
        <v>0</v>
      </c>
      <c r="O7" s="381">
        <v>0</v>
      </c>
      <c r="P7" s="381">
        <v>0</v>
      </c>
      <c r="Q7" s="381">
        <v>0</v>
      </c>
      <c r="R7" s="381">
        <v>0</v>
      </c>
      <c r="S7" s="381">
        <v>0</v>
      </c>
      <c r="T7" s="381">
        <v>0</v>
      </c>
      <c r="U7" s="381">
        <v>0</v>
      </c>
      <c r="V7" s="381">
        <v>0</v>
      </c>
      <c r="W7" s="381">
        <v>0</v>
      </c>
      <c r="X7" s="353"/>
      <c r="Y7" s="353"/>
    </row>
    <row r="8" spans="1:25" s="351" customFormat="1" ht="15" customHeight="1">
      <c r="A8" s="387" t="s">
        <v>692</v>
      </c>
      <c r="B8" s="363">
        <v>1</v>
      </c>
      <c r="C8" s="384">
        <v>12</v>
      </c>
      <c r="D8" s="361">
        <v>19965</v>
      </c>
      <c r="E8" s="153" t="s">
        <v>1017</v>
      </c>
      <c r="F8" s="379">
        <f t="shared" ref="F8:F15" si="2">+B8*C8*D8</f>
        <v>239580</v>
      </c>
      <c r="G8" s="379">
        <f t="shared" ref="G8:G11" si="3">+B8*C8*375</f>
        <v>4500</v>
      </c>
      <c r="H8" s="379">
        <f t="shared" ref="H8:H15" si="4">+B8*C8*250</f>
        <v>3000</v>
      </c>
      <c r="I8" s="361">
        <v>0</v>
      </c>
      <c r="J8" s="379">
        <f>+B8*C8*6000</f>
        <v>72000</v>
      </c>
      <c r="K8" s="380">
        <f>(19965+375)*B8</f>
        <v>20340</v>
      </c>
      <c r="L8" s="362">
        <f t="shared" si="0"/>
        <v>20340</v>
      </c>
      <c r="M8" s="362">
        <f t="shared" si="1"/>
        <v>200</v>
      </c>
      <c r="N8" s="354">
        <v>0</v>
      </c>
      <c r="O8" s="354">
        <v>0</v>
      </c>
      <c r="P8" s="354">
        <v>0</v>
      </c>
      <c r="Q8" s="354">
        <v>0</v>
      </c>
      <c r="R8" s="354">
        <v>0</v>
      </c>
      <c r="S8" s="354">
        <v>0</v>
      </c>
      <c r="T8" s="354">
        <v>0</v>
      </c>
      <c r="U8" s="354">
        <v>0</v>
      </c>
      <c r="V8" s="354">
        <v>0</v>
      </c>
      <c r="W8" s="354">
        <v>0</v>
      </c>
      <c r="X8" s="353"/>
      <c r="Y8" s="353"/>
    </row>
    <row r="9" spans="1:25" s="351" customFormat="1" ht="15" customHeight="1">
      <c r="A9" s="393" t="s">
        <v>693</v>
      </c>
      <c r="B9" s="394">
        <v>1</v>
      </c>
      <c r="C9" s="395">
        <v>12</v>
      </c>
      <c r="D9" s="352">
        <v>19965</v>
      </c>
      <c r="E9" s="396" t="s">
        <v>1017</v>
      </c>
      <c r="F9" s="397">
        <f t="shared" si="2"/>
        <v>239580</v>
      </c>
      <c r="G9" s="397">
        <f t="shared" si="3"/>
        <v>4500</v>
      </c>
      <c r="H9" s="397">
        <f t="shared" si="4"/>
        <v>3000</v>
      </c>
      <c r="I9" s="352">
        <v>0</v>
      </c>
      <c r="J9" s="397">
        <f>+B9*C9*6000</f>
        <v>72000</v>
      </c>
      <c r="K9" s="398">
        <f>(19965+375)*B9</f>
        <v>20340</v>
      </c>
      <c r="L9" s="399">
        <f t="shared" si="0"/>
        <v>20340</v>
      </c>
      <c r="M9" s="399">
        <f t="shared" si="1"/>
        <v>200</v>
      </c>
      <c r="N9" s="352">
        <v>0</v>
      </c>
      <c r="O9" s="352">
        <v>0</v>
      </c>
      <c r="P9" s="352">
        <v>0</v>
      </c>
      <c r="Q9" s="352">
        <v>0</v>
      </c>
      <c r="R9" s="352">
        <v>0</v>
      </c>
      <c r="S9" s="352">
        <v>0</v>
      </c>
      <c r="T9" s="352">
        <v>0</v>
      </c>
      <c r="U9" s="352">
        <v>0</v>
      </c>
      <c r="V9" s="352">
        <v>0</v>
      </c>
      <c r="W9" s="352">
        <v>0</v>
      </c>
      <c r="X9" s="353"/>
      <c r="Y9" s="353"/>
    </row>
    <row r="10" spans="1:25" s="351" customFormat="1" ht="15" customHeight="1">
      <c r="A10" s="393" t="s">
        <v>694</v>
      </c>
      <c r="B10" s="394">
        <v>5</v>
      </c>
      <c r="C10" s="395">
        <v>12</v>
      </c>
      <c r="D10" s="400">
        <v>17303</v>
      </c>
      <c r="E10" s="396" t="s">
        <v>1017</v>
      </c>
      <c r="F10" s="397">
        <f t="shared" si="2"/>
        <v>1038180</v>
      </c>
      <c r="G10" s="397">
        <f t="shared" si="3"/>
        <v>22500</v>
      </c>
      <c r="H10" s="397">
        <f t="shared" si="4"/>
        <v>15000</v>
      </c>
      <c r="I10" s="352">
        <v>0</v>
      </c>
      <c r="J10" s="352">
        <v>0</v>
      </c>
      <c r="K10" s="398">
        <f>(17303+375)*B10</f>
        <v>88390</v>
      </c>
      <c r="L10" s="399">
        <f t="shared" si="0"/>
        <v>88390</v>
      </c>
      <c r="M10" s="399">
        <f t="shared" si="1"/>
        <v>1000</v>
      </c>
      <c r="N10" s="352">
        <v>0</v>
      </c>
      <c r="O10" s="352">
        <v>0</v>
      </c>
      <c r="P10" s="352">
        <v>0</v>
      </c>
      <c r="Q10" s="352">
        <v>0</v>
      </c>
      <c r="R10" s="352">
        <v>0</v>
      </c>
      <c r="S10" s="352">
        <v>0</v>
      </c>
      <c r="T10" s="352">
        <v>0</v>
      </c>
      <c r="U10" s="352">
        <v>0</v>
      </c>
      <c r="V10" s="352">
        <v>0</v>
      </c>
      <c r="W10" s="352">
        <v>0</v>
      </c>
      <c r="X10" s="353"/>
      <c r="Y10" s="353"/>
    </row>
    <row r="11" spans="1:25" s="351" customFormat="1" ht="15" customHeight="1">
      <c r="A11" s="393" t="s">
        <v>695</v>
      </c>
      <c r="B11" s="394">
        <v>10</v>
      </c>
      <c r="C11" s="395">
        <v>12</v>
      </c>
      <c r="D11" s="400">
        <v>14641</v>
      </c>
      <c r="E11" s="396" t="s">
        <v>1017</v>
      </c>
      <c r="F11" s="397">
        <f t="shared" si="2"/>
        <v>1756920</v>
      </c>
      <c r="G11" s="397">
        <f t="shared" si="3"/>
        <v>45000</v>
      </c>
      <c r="H11" s="397">
        <f t="shared" si="4"/>
        <v>30000</v>
      </c>
      <c r="I11" s="352">
        <v>0</v>
      </c>
      <c r="J11" s="352">
        <v>0</v>
      </c>
      <c r="K11" s="398">
        <f>(14641+375)*B11</f>
        <v>150160</v>
      </c>
      <c r="L11" s="399">
        <f t="shared" si="0"/>
        <v>150160</v>
      </c>
      <c r="M11" s="399">
        <f t="shared" si="1"/>
        <v>2000</v>
      </c>
      <c r="N11" s="352">
        <v>0</v>
      </c>
      <c r="O11" s="352">
        <v>0</v>
      </c>
      <c r="P11" s="352">
        <v>0</v>
      </c>
      <c r="Q11" s="352">
        <v>0</v>
      </c>
      <c r="R11" s="352">
        <v>0</v>
      </c>
      <c r="S11" s="352">
        <v>0</v>
      </c>
      <c r="T11" s="352">
        <v>0</v>
      </c>
      <c r="U11" s="352">
        <v>0</v>
      </c>
      <c r="V11" s="352">
        <v>0</v>
      </c>
      <c r="W11" s="352">
        <v>0</v>
      </c>
      <c r="X11" s="353"/>
      <c r="Y11" s="353"/>
    </row>
    <row r="12" spans="1:25" s="351" customFormat="1" ht="15" customHeight="1">
      <c r="A12" s="393" t="s">
        <v>696</v>
      </c>
      <c r="B12" s="394">
        <v>6</v>
      </c>
      <c r="C12" s="395">
        <v>12</v>
      </c>
      <c r="D12" s="400">
        <v>10648</v>
      </c>
      <c r="E12" s="396" t="s">
        <v>1017</v>
      </c>
      <c r="F12" s="397">
        <f t="shared" si="2"/>
        <v>766656</v>
      </c>
      <c r="G12" s="352">
        <v>0</v>
      </c>
      <c r="H12" s="397">
        <f t="shared" si="4"/>
        <v>18000</v>
      </c>
      <c r="I12" s="352">
        <v>0</v>
      </c>
      <c r="J12" s="352">
        <v>0</v>
      </c>
      <c r="K12" s="398">
        <f>(10648*B12)</f>
        <v>63888</v>
      </c>
      <c r="L12" s="399">
        <f t="shared" si="0"/>
        <v>63888</v>
      </c>
      <c r="M12" s="399">
        <f t="shared" si="1"/>
        <v>1200</v>
      </c>
      <c r="N12" s="352">
        <v>0</v>
      </c>
      <c r="O12" s="352">
        <v>0</v>
      </c>
      <c r="P12" s="352">
        <v>0</v>
      </c>
      <c r="Q12" s="352">
        <v>0</v>
      </c>
      <c r="R12" s="352">
        <v>0</v>
      </c>
      <c r="S12" s="352">
        <v>0</v>
      </c>
      <c r="T12" s="352">
        <v>0</v>
      </c>
      <c r="U12" s="352">
        <v>0</v>
      </c>
      <c r="V12" s="352">
        <v>0</v>
      </c>
      <c r="W12" s="352">
        <v>0</v>
      </c>
      <c r="X12" s="353"/>
      <c r="Y12" s="353"/>
    </row>
    <row r="13" spans="1:25" s="351" customFormat="1" ht="15" customHeight="1">
      <c r="A13" s="393" t="s">
        <v>697</v>
      </c>
      <c r="B13" s="394">
        <v>9</v>
      </c>
      <c r="C13" s="395">
        <v>12</v>
      </c>
      <c r="D13" s="400">
        <v>6655</v>
      </c>
      <c r="E13" s="396" t="s">
        <v>1017</v>
      </c>
      <c r="F13" s="397">
        <f t="shared" si="2"/>
        <v>718740</v>
      </c>
      <c r="G13" s="352">
        <v>0</v>
      </c>
      <c r="H13" s="397">
        <f t="shared" si="4"/>
        <v>27000</v>
      </c>
      <c r="I13" s="352">
        <v>0</v>
      </c>
      <c r="J13" s="352">
        <v>0</v>
      </c>
      <c r="K13" s="398">
        <f>6655*B13</f>
        <v>59895</v>
      </c>
      <c r="L13" s="399">
        <f t="shared" si="0"/>
        <v>59895</v>
      </c>
      <c r="M13" s="399">
        <f t="shared" si="1"/>
        <v>1800</v>
      </c>
      <c r="N13" s="352">
        <v>0</v>
      </c>
      <c r="O13" s="352">
        <v>0</v>
      </c>
      <c r="P13" s="352">
        <v>0</v>
      </c>
      <c r="Q13" s="352">
        <v>0</v>
      </c>
      <c r="R13" s="352">
        <v>0</v>
      </c>
      <c r="S13" s="352">
        <v>0</v>
      </c>
      <c r="T13" s="352">
        <v>0</v>
      </c>
      <c r="U13" s="352">
        <v>0</v>
      </c>
      <c r="V13" s="352">
        <v>0</v>
      </c>
      <c r="W13" s="352">
        <v>0</v>
      </c>
      <c r="X13" s="353"/>
      <c r="Y13" s="353"/>
    </row>
    <row r="14" spans="1:25" s="351" customFormat="1" ht="15" customHeight="1">
      <c r="A14" s="393" t="s">
        <v>698</v>
      </c>
      <c r="B14" s="394">
        <v>11</v>
      </c>
      <c r="C14" s="395">
        <v>12</v>
      </c>
      <c r="D14" s="400">
        <v>5058</v>
      </c>
      <c r="E14" s="396" t="s">
        <v>1017</v>
      </c>
      <c r="F14" s="397">
        <f t="shared" si="2"/>
        <v>667656</v>
      </c>
      <c r="G14" s="352">
        <v>0</v>
      </c>
      <c r="H14" s="397">
        <f t="shared" si="4"/>
        <v>33000</v>
      </c>
      <c r="I14" s="352">
        <v>0</v>
      </c>
      <c r="J14" s="352">
        <v>0</v>
      </c>
      <c r="K14" s="398">
        <f>5058*B14</f>
        <v>55638</v>
      </c>
      <c r="L14" s="399">
        <f t="shared" si="0"/>
        <v>55638</v>
      </c>
      <c r="M14" s="399">
        <f t="shared" si="1"/>
        <v>2200</v>
      </c>
      <c r="N14" s="352">
        <v>0</v>
      </c>
      <c r="O14" s="352">
        <v>0</v>
      </c>
      <c r="P14" s="352">
        <v>0</v>
      </c>
      <c r="Q14" s="352">
        <v>0</v>
      </c>
      <c r="R14" s="352">
        <v>0</v>
      </c>
      <c r="S14" s="352">
        <v>0</v>
      </c>
      <c r="T14" s="352">
        <v>0</v>
      </c>
      <c r="U14" s="352">
        <v>0</v>
      </c>
      <c r="V14" s="352">
        <v>0</v>
      </c>
      <c r="W14" s="352">
        <v>0</v>
      </c>
      <c r="X14" s="353"/>
      <c r="Y14" s="353"/>
    </row>
    <row r="15" spans="1:25" s="351" customFormat="1" ht="15" customHeight="1">
      <c r="A15" s="393" t="s">
        <v>699</v>
      </c>
      <c r="B15" s="394">
        <v>4</v>
      </c>
      <c r="C15" s="395">
        <v>12</v>
      </c>
      <c r="D15" s="400">
        <v>2662</v>
      </c>
      <c r="E15" s="396" t="s">
        <v>1017</v>
      </c>
      <c r="F15" s="397">
        <f t="shared" si="2"/>
        <v>127776</v>
      </c>
      <c r="G15" s="352">
        <v>0</v>
      </c>
      <c r="H15" s="397">
        <f t="shared" si="4"/>
        <v>12000</v>
      </c>
      <c r="I15" s="352">
        <v>0</v>
      </c>
      <c r="J15" s="352">
        <v>0</v>
      </c>
      <c r="K15" s="398">
        <f>2662*B15</f>
        <v>10648</v>
      </c>
      <c r="L15" s="399">
        <f t="shared" si="0"/>
        <v>10648</v>
      </c>
      <c r="M15" s="399">
        <f t="shared" si="1"/>
        <v>800</v>
      </c>
      <c r="N15" s="352">
        <v>0</v>
      </c>
      <c r="O15" s="352">
        <v>0</v>
      </c>
      <c r="P15" s="352">
        <v>0</v>
      </c>
      <c r="Q15" s="352">
        <v>0</v>
      </c>
      <c r="R15" s="352">
        <v>0</v>
      </c>
      <c r="S15" s="352">
        <v>0</v>
      </c>
      <c r="T15" s="352">
        <v>0</v>
      </c>
      <c r="U15" s="352">
        <v>0</v>
      </c>
      <c r="V15" s="352">
        <v>0</v>
      </c>
      <c r="W15" s="352">
        <v>0</v>
      </c>
      <c r="X15" s="353"/>
      <c r="Y15" s="353"/>
    </row>
    <row r="16" spans="1:25" s="351" customFormat="1" ht="15" customHeight="1">
      <c r="A16" s="339" t="s">
        <v>534</v>
      </c>
      <c r="B16" s="401">
        <v>1</v>
      </c>
      <c r="C16" s="395">
        <v>12</v>
      </c>
      <c r="D16" s="11">
        <v>18900</v>
      </c>
      <c r="E16" s="402" t="s">
        <v>690</v>
      </c>
      <c r="F16" s="400">
        <v>0</v>
      </c>
      <c r="G16" s="400">
        <v>0</v>
      </c>
      <c r="H16" s="400">
        <v>0</v>
      </c>
      <c r="I16" s="352">
        <f t="shared" ref="I16:I22" si="5">+B16*C16*D16</f>
        <v>226800</v>
      </c>
      <c r="J16" s="352">
        <v>0</v>
      </c>
      <c r="K16" s="352">
        <f t="shared" ref="K16:K31" si="6">+C16*D16*F16</f>
        <v>0</v>
      </c>
      <c r="L16" s="352">
        <v>0</v>
      </c>
      <c r="M16" s="352">
        <v>0</v>
      </c>
      <c r="N16" s="352">
        <v>0</v>
      </c>
      <c r="O16" s="352">
        <v>0</v>
      </c>
      <c r="P16" s="352">
        <v>0</v>
      </c>
      <c r="Q16" s="352">
        <v>0</v>
      </c>
      <c r="R16" s="352">
        <v>0</v>
      </c>
      <c r="S16" s="352">
        <v>0</v>
      </c>
      <c r="T16" s="352">
        <v>0</v>
      </c>
      <c r="U16" s="352">
        <v>0</v>
      </c>
      <c r="V16" s="352">
        <v>0</v>
      </c>
      <c r="W16" s="352">
        <v>0</v>
      </c>
      <c r="X16" s="353"/>
      <c r="Y16" s="353"/>
    </row>
    <row r="17" spans="1:25" s="351" customFormat="1" ht="15" customHeight="1">
      <c r="A17" s="339" t="s">
        <v>700</v>
      </c>
      <c r="B17" s="401">
        <v>1</v>
      </c>
      <c r="C17" s="395">
        <v>12</v>
      </c>
      <c r="D17" s="11">
        <v>19800</v>
      </c>
      <c r="E17" s="402" t="s">
        <v>690</v>
      </c>
      <c r="F17" s="400">
        <v>0</v>
      </c>
      <c r="G17" s="400">
        <v>0</v>
      </c>
      <c r="H17" s="400">
        <v>0</v>
      </c>
      <c r="I17" s="352">
        <f t="shared" si="5"/>
        <v>237600</v>
      </c>
      <c r="J17" s="352">
        <v>0</v>
      </c>
      <c r="K17" s="352">
        <f t="shared" si="6"/>
        <v>0</v>
      </c>
      <c r="L17" s="352">
        <v>0</v>
      </c>
      <c r="M17" s="352">
        <v>0</v>
      </c>
      <c r="N17" s="352">
        <v>0</v>
      </c>
      <c r="O17" s="352">
        <v>0</v>
      </c>
      <c r="P17" s="352">
        <v>0</v>
      </c>
      <c r="Q17" s="352">
        <v>0</v>
      </c>
      <c r="R17" s="352">
        <v>0</v>
      </c>
      <c r="S17" s="352">
        <v>0</v>
      </c>
      <c r="T17" s="352">
        <v>0</v>
      </c>
      <c r="U17" s="352">
        <v>0</v>
      </c>
      <c r="V17" s="352">
        <v>0</v>
      </c>
      <c r="W17" s="352">
        <v>0</v>
      </c>
      <c r="X17" s="353"/>
      <c r="Y17" s="353"/>
    </row>
    <row r="18" spans="1:25" s="351" customFormat="1" ht="15" customHeight="1">
      <c r="A18" s="339" t="s">
        <v>701</v>
      </c>
      <c r="B18" s="401">
        <v>2</v>
      </c>
      <c r="C18" s="395">
        <v>12</v>
      </c>
      <c r="D18" s="11">
        <v>6500</v>
      </c>
      <c r="E18" s="402" t="s">
        <v>690</v>
      </c>
      <c r="F18" s="400">
        <v>0</v>
      </c>
      <c r="G18" s="400">
        <v>0</v>
      </c>
      <c r="H18" s="400">
        <v>0</v>
      </c>
      <c r="I18" s="352">
        <f t="shared" si="5"/>
        <v>156000</v>
      </c>
      <c r="J18" s="352">
        <v>0</v>
      </c>
      <c r="K18" s="352">
        <f t="shared" si="6"/>
        <v>0</v>
      </c>
      <c r="L18" s="352">
        <v>0</v>
      </c>
      <c r="M18" s="352">
        <v>0</v>
      </c>
      <c r="N18" s="352">
        <v>0</v>
      </c>
      <c r="O18" s="352">
        <v>0</v>
      </c>
      <c r="P18" s="352">
        <v>0</v>
      </c>
      <c r="Q18" s="352">
        <v>0</v>
      </c>
      <c r="R18" s="352">
        <v>0</v>
      </c>
      <c r="S18" s="352">
        <v>0</v>
      </c>
      <c r="T18" s="352">
        <v>0</v>
      </c>
      <c r="U18" s="352">
        <v>0</v>
      </c>
      <c r="V18" s="352">
        <v>0</v>
      </c>
      <c r="W18" s="352">
        <v>0</v>
      </c>
      <c r="X18" s="353"/>
      <c r="Y18" s="353"/>
    </row>
    <row r="19" spans="1:25" s="351" customFormat="1" ht="15" customHeight="1">
      <c r="A19" s="339" t="s">
        <v>702</v>
      </c>
      <c r="B19" s="401">
        <v>1</v>
      </c>
      <c r="C19" s="395">
        <v>12</v>
      </c>
      <c r="D19" s="11">
        <v>5600</v>
      </c>
      <c r="E19" s="402" t="s">
        <v>690</v>
      </c>
      <c r="F19" s="400">
        <v>0</v>
      </c>
      <c r="G19" s="400">
        <v>0</v>
      </c>
      <c r="H19" s="400">
        <v>0</v>
      </c>
      <c r="I19" s="352">
        <f t="shared" si="5"/>
        <v>67200</v>
      </c>
      <c r="J19" s="352">
        <v>0</v>
      </c>
      <c r="K19" s="352">
        <f t="shared" si="6"/>
        <v>0</v>
      </c>
      <c r="L19" s="352">
        <v>0</v>
      </c>
      <c r="M19" s="352">
        <v>0</v>
      </c>
      <c r="N19" s="352">
        <v>0</v>
      </c>
      <c r="O19" s="352">
        <v>0</v>
      </c>
      <c r="P19" s="352">
        <v>0</v>
      </c>
      <c r="Q19" s="352">
        <v>0</v>
      </c>
      <c r="R19" s="352">
        <v>0</v>
      </c>
      <c r="S19" s="352">
        <v>0</v>
      </c>
      <c r="T19" s="352">
        <v>0</v>
      </c>
      <c r="U19" s="352">
        <v>0</v>
      </c>
      <c r="V19" s="352">
        <v>0</v>
      </c>
      <c r="W19" s="352">
        <v>0</v>
      </c>
      <c r="X19" s="353"/>
      <c r="Y19" s="353"/>
    </row>
    <row r="20" spans="1:25" s="351" customFormat="1" ht="15" customHeight="1">
      <c r="A20" s="339" t="s">
        <v>703</v>
      </c>
      <c r="B20" s="401">
        <v>1</v>
      </c>
      <c r="C20" s="395">
        <v>12</v>
      </c>
      <c r="D20" s="11">
        <v>5800</v>
      </c>
      <c r="E20" s="402" t="s">
        <v>690</v>
      </c>
      <c r="F20" s="400">
        <v>0</v>
      </c>
      <c r="G20" s="400">
        <v>0</v>
      </c>
      <c r="H20" s="400">
        <v>0</v>
      </c>
      <c r="I20" s="352">
        <f t="shared" si="5"/>
        <v>69600</v>
      </c>
      <c r="J20" s="352">
        <v>0</v>
      </c>
      <c r="K20" s="352">
        <f t="shared" si="6"/>
        <v>0</v>
      </c>
      <c r="L20" s="352">
        <v>0</v>
      </c>
      <c r="M20" s="352">
        <v>0</v>
      </c>
      <c r="N20" s="352">
        <v>0</v>
      </c>
      <c r="O20" s="352">
        <v>0</v>
      </c>
      <c r="P20" s="352">
        <v>0</v>
      </c>
      <c r="Q20" s="352">
        <v>0</v>
      </c>
      <c r="R20" s="352">
        <v>0</v>
      </c>
      <c r="S20" s="352">
        <v>0</v>
      </c>
      <c r="T20" s="352">
        <v>0</v>
      </c>
      <c r="U20" s="352">
        <v>0</v>
      </c>
      <c r="V20" s="352">
        <v>0</v>
      </c>
      <c r="W20" s="352">
        <v>0</v>
      </c>
      <c r="X20" s="353"/>
      <c r="Y20" s="353"/>
    </row>
    <row r="21" spans="1:25" s="351" customFormat="1" ht="15" customHeight="1">
      <c r="A21" s="393" t="s">
        <v>704</v>
      </c>
      <c r="B21" s="401">
        <v>1</v>
      </c>
      <c r="C21" s="395">
        <v>12</v>
      </c>
      <c r="D21" s="11">
        <v>17800</v>
      </c>
      <c r="E21" s="402" t="s">
        <v>690</v>
      </c>
      <c r="F21" s="400">
        <v>0</v>
      </c>
      <c r="G21" s="400">
        <v>0</v>
      </c>
      <c r="H21" s="400">
        <v>0</v>
      </c>
      <c r="I21" s="352">
        <f t="shared" si="5"/>
        <v>213600</v>
      </c>
      <c r="J21" s="352">
        <v>0</v>
      </c>
      <c r="K21" s="352">
        <f t="shared" si="6"/>
        <v>0</v>
      </c>
      <c r="L21" s="352">
        <v>0</v>
      </c>
      <c r="M21" s="352">
        <v>0</v>
      </c>
      <c r="N21" s="352">
        <v>0</v>
      </c>
      <c r="O21" s="352">
        <v>0</v>
      </c>
      <c r="P21" s="352">
        <v>0</v>
      </c>
      <c r="Q21" s="352">
        <v>0</v>
      </c>
      <c r="R21" s="352">
        <v>0</v>
      </c>
      <c r="S21" s="352">
        <v>0</v>
      </c>
      <c r="T21" s="352">
        <v>0</v>
      </c>
      <c r="U21" s="352">
        <v>0</v>
      </c>
      <c r="V21" s="352">
        <v>0</v>
      </c>
      <c r="W21" s="352">
        <v>0</v>
      </c>
      <c r="X21" s="353"/>
      <c r="Y21" s="353"/>
    </row>
    <row r="22" spans="1:25" s="351" customFormat="1" ht="15" customHeight="1">
      <c r="A22" s="393" t="s">
        <v>705</v>
      </c>
      <c r="B22" s="401">
        <v>3</v>
      </c>
      <c r="C22" s="395">
        <v>12</v>
      </c>
      <c r="D22" s="11">
        <v>18000</v>
      </c>
      <c r="E22" s="402" t="s">
        <v>690</v>
      </c>
      <c r="F22" s="400">
        <v>0</v>
      </c>
      <c r="G22" s="400">
        <v>0</v>
      </c>
      <c r="H22" s="400">
        <v>0</v>
      </c>
      <c r="I22" s="352">
        <f t="shared" si="5"/>
        <v>648000</v>
      </c>
      <c r="J22" s="352">
        <v>0</v>
      </c>
      <c r="K22" s="352">
        <f t="shared" si="6"/>
        <v>0</v>
      </c>
      <c r="L22" s="352">
        <v>0</v>
      </c>
      <c r="M22" s="352">
        <v>0</v>
      </c>
      <c r="N22" s="352">
        <v>0</v>
      </c>
      <c r="O22" s="352">
        <v>0</v>
      </c>
      <c r="P22" s="352">
        <v>0</v>
      </c>
      <c r="Q22" s="352">
        <v>0</v>
      </c>
      <c r="R22" s="352">
        <v>0</v>
      </c>
      <c r="S22" s="352">
        <v>0</v>
      </c>
      <c r="T22" s="352">
        <v>0</v>
      </c>
      <c r="U22" s="352">
        <v>0</v>
      </c>
      <c r="V22" s="352">
        <v>0</v>
      </c>
      <c r="W22" s="352">
        <v>0</v>
      </c>
      <c r="X22" s="353"/>
      <c r="Y22" s="353"/>
    </row>
    <row r="23" spans="1:25" s="351" customFormat="1" ht="15" customHeight="1">
      <c r="A23" s="403" t="s">
        <v>1020</v>
      </c>
      <c r="B23" s="401">
        <v>1</v>
      </c>
      <c r="C23" s="395">
        <v>12</v>
      </c>
      <c r="D23" s="11">
        <v>75000</v>
      </c>
      <c r="E23" s="396" t="s">
        <v>1017</v>
      </c>
      <c r="F23" s="400">
        <v>0</v>
      </c>
      <c r="G23" s="400">
        <v>0</v>
      </c>
      <c r="H23" s="400">
        <v>0</v>
      </c>
      <c r="I23" s="352">
        <v>0</v>
      </c>
      <c r="J23" s="352">
        <v>0</v>
      </c>
      <c r="K23" s="352">
        <f t="shared" si="6"/>
        <v>0</v>
      </c>
      <c r="L23" s="352">
        <v>0</v>
      </c>
      <c r="M23" s="352">
        <v>0</v>
      </c>
      <c r="N23" s="352">
        <v>0</v>
      </c>
      <c r="O23" s="352">
        <v>0</v>
      </c>
      <c r="P23" s="352">
        <f>+B23*C23*D23</f>
        <v>900000</v>
      </c>
      <c r="Q23" s="352">
        <v>0</v>
      </c>
      <c r="R23" s="352">
        <v>0</v>
      </c>
      <c r="S23" s="352">
        <v>0</v>
      </c>
      <c r="T23" s="352">
        <v>0</v>
      </c>
      <c r="U23" s="352">
        <v>0</v>
      </c>
      <c r="V23" s="352">
        <v>0</v>
      </c>
      <c r="W23" s="352">
        <v>0</v>
      </c>
      <c r="X23" s="353"/>
      <c r="Y23" s="353"/>
    </row>
    <row r="24" spans="1:25" s="351" customFormat="1" ht="15" customHeight="1">
      <c r="A24" s="403" t="s">
        <v>1021</v>
      </c>
      <c r="B24" s="401">
        <v>10</v>
      </c>
      <c r="C24" s="395">
        <v>12</v>
      </c>
      <c r="D24" s="11">
        <v>15500</v>
      </c>
      <c r="E24" s="396" t="s">
        <v>1017</v>
      </c>
      <c r="F24" s="400">
        <v>0</v>
      </c>
      <c r="G24" s="400">
        <v>0</v>
      </c>
      <c r="H24" s="400">
        <v>0</v>
      </c>
      <c r="I24" s="352">
        <v>0</v>
      </c>
      <c r="J24" s="352">
        <v>0</v>
      </c>
      <c r="K24" s="352">
        <f t="shared" si="6"/>
        <v>0</v>
      </c>
      <c r="L24" s="352">
        <v>0</v>
      </c>
      <c r="M24" s="352">
        <v>0</v>
      </c>
      <c r="N24" s="352">
        <v>0</v>
      </c>
      <c r="O24" s="352">
        <v>0</v>
      </c>
      <c r="P24" s="352">
        <v>0</v>
      </c>
      <c r="Q24" s="352">
        <f>+B24*C24*D24</f>
        <v>1860000</v>
      </c>
      <c r="R24" s="352">
        <v>0</v>
      </c>
      <c r="S24" s="352">
        <v>0</v>
      </c>
      <c r="T24" s="352">
        <v>0</v>
      </c>
      <c r="U24" s="352">
        <v>0</v>
      </c>
      <c r="V24" s="352">
        <v>0</v>
      </c>
      <c r="W24" s="352">
        <v>0</v>
      </c>
      <c r="X24" s="353"/>
      <c r="Y24" s="353"/>
    </row>
    <row r="25" spans="1:25" s="351" customFormat="1" ht="15" customHeight="1">
      <c r="A25" s="403" t="s">
        <v>919</v>
      </c>
      <c r="B25" s="401">
        <v>1</v>
      </c>
      <c r="C25" s="395">
        <v>12</v>
      </c>
      <c r="D25" s="11">
        <v>19800</v>
      </c>
      <c r="E25" s="396" t="s">
        <v>1017</v>
      </c>
      <c r="F25" s="400">
        <v>0</v>
      </c>
      <c r="G25" s="400">
        <v>0</v>
      </c>
      <c r="H25" s="400">
        <v>0</v>
      </c>
      <c r="I25" s="352">
        <v>0</v>
      </c>
      <c r="J25" s="352">
        <v>0</v>
      </c>
      <c r="K25" s="352">
        <f t="shared" si="6"/>
        <v>0</v>
      </c>
      <c r="L25" s="352">
        <v>0</v>
      </c>
      <c r="M25" s="352">
        <v>0</v>
      </c>
      <c r="N25" s="352">
        <v>0</v>
      </c>
      <c r="O25" s="352">
        <v>0</v>
      </c>
      <c r="P25" s="352">
        <v>0</v>
      </c>
      <c r="Q25" s="352">
        <v>0</v>
      </c>
      <c r="R25" s="352">
        <f>+B25*C25*D25</f>
        <v>237600</v>
      </c>
      <c r="S25" s="352">
        <v>0</v>
      </c>
      <c r="T25" s="352">
        <v>0</v>
      </c>
      <c r="U25" s="352">
        <v>0</v>
      </c>
      <c r="V25" s="352">
        <v>0</v>
      </c>
      <c r="W25" s="352">
        <v>0</v>
      </c>
      <c r="X25" s="353"/>
      <c r="Y25" s="353"/>
    </row>
    <row r="26" spans="1:25" s="351" customFormat="1" ht="15" customHeight="1">
      <c r="A26" s="403" t="s">
        <v>1022</v>
      </c>
      <c r="B26" s="401">
        <v>1</v>
      </c>
      <c r="C26" s="395">
        <v>12</v>
      </c>
      <c r="D26" s="11">
        <v>75000</v>
      </c>
      <c r="E26" s="396" t="s">
        <v>1017</v>
      </c>
      <c r="F26" s="400">
        <v>0</v>
      </c>
      <c r="G26" s="400">
        <v>0</v>
      </c>
      <c r="H26" s="400">
        <v>0</v>
      </c>
      <c r="I26" s="352">
        <v>0</v>
      </c>
      <c r="J26" s="352">
        <v>0</v>
      </c>
      <c r="K26" s="352">
        <f t="shared" si="6"/>
        <v>0</v>
      </c>
      <c r="L26" s="352">
        <v>0</v>
      </c>
      <c r="M26" s="352">
        <v>0</v>
      </c>
      <c r="N26" s="352">
        <v>0</v>
      </c>
      <c r="O26" s="352">
        <v>0</v>
      </c>
      <c r="P26" s="352">
        <v>0</v>
      </c>
      <c r="Q26" s="352">
        <v>0</v>
      </c>
      <c r="R26" s="352">
        <v>0</v>
      </c>
      <c r="S26" s="352">
        <f>+B26*C26*D26</f>
        <v>900000</v>
      </c>
      <c r="T26" s="352">
        <v>0</v>
      </c>
      <c r="U26" s="352">
        <v>0</v>
      </c>
      <c r="V26" s="352">
        <v>0</v>
      </c>
      <c r="W26" s="352">
        <v>0</v>
      </c>
      <c r="X26" s="353"/>
      <c r="Y26" s="353"/>
    </row>
    <row r="27" spans="1:25" s="351" customFormat="1" ht="15" customHeight="1">
      <c r="A27" s="403" t="s">
        <v>1023</v>
      </c>
      <c r="B27" s="401">
        <v>2</v>
      </c>
      <c r="C27" s="395">
        <v>12</v>
      </c>
      <c r="D27" s="11">
        <v>14300</v>
      </c>
      <c r="E27" s="396" t="s">
        <v>1017</v>
      </c>
      <c r="F27" s="400">
        <v>0</v>
      </c>
      <c r="G27" s="400">
        <v>0</v>
      </c>
      <c r="H27" s="400">
        <v>0</v>
      </c>
      <c r="I27" s="352">
        <v>0</v>
      </c>
      <c r="J27" s="352">
        <v>0</v>
      </c>
      <c r="K27" s="352">
        <f t="shared" si="6"/>
        <v>0</v>
      </c>
      <c r="L27" s="352">
        <v>0</v>
      </c>
      <c r="M27" s="352">
        <v>0</v>
      </c>
      <c r="N27" s="352">
        <v>0</v>
      </c>
      <c r="O27" s="352">
        <v>0</v>
      </c>
      <c r="P27" s="352">
        <v>0</v>
      </c>
      <c r="Q27" s="352">
        <v>0</v>
      </c>
      <c r="R27" s="352">
        <v>0</v>
      </c>
      <c r="S27" s="352">
        <v>0</v>
      </c>
      <c r="T27" s="352">
        <f>+B27*C27*D27</f>
        <v>343200</v>
      </c>
      <c r="U27" s="352">
        <v>0</v>
      </c>
      <c r="V27" s="352">
        <v>0</v>
      </c>
      <c r="W27" s="352">
        <v>0</v>
      </c>
      <c r="X27" s="353"/>
      <c r="Y27" s="353"/>
    </row>
    <row r="28" spans="1:25" s="351" customFormat="1" ht="15" customHeight="1">
      <c r="A28" s="403" t="s">
        <v>1024</v>
      </c>
      <c r="B28" s="401">
        <v>10</v>
      </c>
      <c r="C28" s="395">
        <v>12</v>
      </c>
      <c r="D28" s="11">
        <v>15000</v>
      </c>
      <c r="E28" s="396" t="s">
        <v>1017</v>
      </c>
      <c r="F28" s="400">
        <v>0</v>
      </c>
      <c r="G28" s="400">
        <v>0</v>
      </c>
      <c r="H28" s="400">
        <v>0</v>
      </c>
      <c r="I28" s="352">
        <v>0</v>
      </c>
      <c r="J28" s="352">
        <v>0</v>
      </c>
      <c r="K28" s="352">
        <f t="shared" si="6"/>
        <v>0</v>
      </c>
      <c r="L28" s="352">
        <v>0</v>
      </c>
      <c r="M28" s="352">
        <v>0</v>
      </c>
      <c r="N28" s="352">
        <v>0</v>
      </c>
      <c r="O28" s="352">
        <v>0</v>
      </c>
      <c r="P28" s="352">
        <v>0</v>
      </c>
      <c r="Q28" s="352">
        <v>0</v>
      </c>
      <c r="R28" s="352">
        <v>0</v>
      </c>
      <c r="S28" s="352">
        <v>0</v>
      </c>
      <c r="T28" s="352">
        <v>0</v>
      </c>
      <c r="U28" s="352">
        <f>+B28*C28*D28</f>
        <v>1800000</v>
      </c>
      <c r="V28" s="352">
        <v>0</v>
      </c>
      <c r="W28" s="352">
        <v>0</v>
      </c>
      <c r="X28" s="353"/>
      <c r="Y28" s="353"/>
    </row>
    <row r="29" spans="1:25" s="351" customFormat="1" ht="15" customHeight="1">
      <c r="A29" s="403" t="s">
        <v>1025</v>
      </c>
      <c r="B29" s="401">
        <v>0</v>
      </c>
      <c r="C29" s="395">
        <v>12</v>
      </c>
      <c r="D29" s="11">
        <v>0</v>
      </c>
      <c r="E29" s="396" t="s">
        <v>1017</v>
      </c>
      <c r="F29" s="400">
        <v>0</v>
      </c>
      <c r="G29" s="400">
        <v>0</v>
      </c>
      <c r="H29" s="400">
        <v>0</v>
      </c>
      <c r="I29" s="352">
        <v>0</v>
      </c>
      <c r="J29" s="352">
        <v>0</v>
      </c>
      <c r="K29" s="352">
        <f t="shared" si="6"/>
        <v>0</v>
      </c>
      <c r="L29" s="352">
        <v>0</v>
      </c>
      <c r="M29" s="352">
        <v>0</v>
      </c>
      <c r="N29" s="352">
        <v>396492</v>
      </c>
      <c r="O29" s="352">
        <v>0</v>
      </c>
      <c r="P29" s="352">
        <v>0</v>
      </c>
      <c r="Q29" s="352">
        <v>0</v>
      </c>
      <c r="R29" s="352">
        <v>0</v>
      </c>
      <c r="S29" s="352">
        <v>0</v>
      </c>
      <c r="T29" s="352">
        <v>0</v>
      </c>
      <c r="U29" s="352">
        <v>0</v>
      </c>
      <c r="V29" s="352">
        <v>0</v>
      </c>
      <c r="W29" s="352">
        <v>0</v>
      </c>
      <c r="X29" s="353"/>
      <c r="Y29" s="353"/>
    </row>
    <row r="30" spans="1:25" s="351" customFormat="1" ht="15" customHeight="1">
      <c r="A30" s="403" t="s">
        <v>963</v>
      </c>
      <c r="B30" s="401">
        <v>0</v>
      </c>
      <c r="C30" s="395">
        <v>12</v>
      </c>
      <c r="D30" s="11">
        <v>0</v>
      </c>
      <c r="E30" s="396" t="s">
        <v>1017</v>
      </c>
      <c r="F30" s="400">
        <v>0</v>
      </c>
      <c r="G30" s="400">
        <v>0</v>
      </c>
      <c r="H30" s="400">
        <v>0</v>
      </c>
      <c r="I30" s="352">
        <f>+B30*C30*D30</f>
        <v>0</v>
      </c>
      <c r="J30" s="352">
        <v>0</v>
      </c>
      <c r="K30" s="352">
        <f t="shared" si="6"/>
        <v>0</v>
      </c>
      <c r="L30" s="352">
        <v>0</v>
      </c>
      <c r="M30" s="352">
        <v>0</v>
      </c>
      <c r="N30" s="352">
        <v>0</v>
      </c>
      <c r="O30" s="352">
        <v>0</v>
      </c>
      <c r="P30" s="352">
        <v>0</v>
      </c>
      <c r="Q30" s="352">
        <v>0</v>
      </c>
      <c r="R30" s="352">
        <v>0</v>
      </c>
      <c r="S30" s="352">
        <v>0</v>
      </c>
      <c r="T30" s="352">
        <v>0</v>
      </c>
      <c r="U30" s="352">
        <v>0</v>
      </c>
      <c r="V30" s="352">
        <v>800000</v>
      </c>
      <c r="W30" s="352"/>
      <c r="X30" s="353"/>
      <c r="Y30" s="353"/>
    </row>
    <row r="31" spans="1:25" s="351" customFormat="1" ht="15" customHeight="1">
      <c r="A31" s="403" t="s">
        <v>964</v>
      </c>
      <c r="B31" s="401">
        <v>0</v>
      </c>
      <c r="C31" s="395">
        <v>12</v>
      </c>
      <c r="D31" s="11">
        <v>0</v>
      </c>
      <c r="E31" s="396" t="s">
        <v>1017</v>
      </c>
      <c r="F31" s="400">
        <v>0</v>
      </c>
      <c r="G31" s="400">
        <v>0</v>
      </c>
      <c r="H31" s="400">
        <v>0</v>
      </c>
      <c r="I31" s="352">
        <f>+B31*C31*D31</f>
        <v>0</v>
      </c>
      <c r="J31" s="352">
        <v>0</v>
      </c>
      <c r="K31" s="352">
        <f t="shared" si="6"/>
        <v>0</v>
      </c>
      <c r="L31" s="352">
        <v>0</v>
      </c>
      <c r="M31" s="352">
        <v>0</v>
      </c>
      <c r="N31" s="352">
        <v>0</v>
      </c>
      <c r="O31" s="352">
        <v>0</v>
      </c>
      <c r="P31" s="352">
        <v>0</v>
      </c>
      <c r="Q31" s="352">
        <v>0</v>
      </c>
      <c r="R31" s="352">
        <v>0</v>
      </c>
      <c r="S31" s="352">
        <v>0</v>
      </c>
      <c r="T31" s="352">
        <v>0</v>
      </c>
      <c r="U31" s="352">
        <v>0</v>
      </c>
      <c r="V31" s="352">
        <v>0</v>
      </c>
      <c r="W31" s="352">
        <v>375000</v>
      </c>
      <c r="X31" s="353"/>
      <c r="Y31" s="353"/>
    </row>
    <row r="32" spans="1:25" s="351" customFormat="1" ht="15" customHeight="1">
      <c r="A32" s="404" t="s">
        <v>1026</v>
      </c>
      <c r="B32" s="405">
        <f>SUM(B7:B31)</f>
        <v>83</v>
      </c>
      <c r="C32" s="406"/>
      <c r="D32" s="407">
        <f t="shared" ref="D32:W32" si="7">SUM(D7:D31)</f>
        <v>433179</v>
      </c>
      <c r="E32" s="408">
        <f t="shared" si="7"/>
        <v>0</v>
      </c>
      <c r="F32" s="407">
        <f t="shared" si="7"/>
        <v>5906472</v>
      </c>
      <c r="G32" s="407">
        <f t="shared" si="7"/>
        <v>81000</v>
      </c>
      <c r="H32" s="407">
        <f t="shared" si="7"/>
        <v>144000</v>
      </c>
      <c r="I32" s="407">
        <f t="shared" si="7"/>
        <v>1618800</v>
      </c>
      <c r="J32" s="407">
        <f t="shared" si="7"/>
        <v>276000</v>
      </c>
      <c r="K32" s="407">
        <f t="shared" si="7"/>
        <v>498956</v>
      </c>
      <c r="L32" s="407">
        <f t="shared" si="7"/>
        <v>498956</v>
      </c>
      <c r="M32" s="407">
        <f t="shared" si="7"/>
        <v>9600</v>
      </c>
      <c r="N32" s="407">
        <f t="shared" si="7"/>
        <v>396492</v>
      </c>
      <c r="O32" s="407">
        <f t="shared" si="7"/>
        <v>0</v>
      </c>
      <c r="P32" s="407">
        <f t="shared" si="7"/>
        <v>900000</v>
      </c>
      <c r="Q32" s="407">
        <f t="shared" si="7"/>
        <v>1860000</v>
      </c>
      <c r="R32" s="407">
        <f t="shared" si="7"/>
        <v>237600</v>
      </c>
      <c r="S32" s="407">
        <f t="shared" si="7"/>
        <v>900000</v>
      </c>
      <c r="T32" s="407">
        <f t="shared" si="7"/>
        <v>343200</v>
      </c>
      <c r="U32" s="407">
        <f t="shared" si="7"/>
        <v>1800000</v>
      </c>
      <c r="V32" s="407">
        <f t="shared" si="7"/>
        <v>800000</v>
      </c>
      <c r="W32" s="407">
        <f t="shared" si="7"/>
        <v>375000</v>
      </c>
      <c r="X32" s="353"/>
      <c r="Y32" s="353"/>
    </row>
    <row r="33" spans="1:25" s="351" customFormat="1" ht="11.25">
      <c r="A33" s="403" t="s">
        <v>706</v>
      </c>
      <c r="B33" s="394">
        <v>1</v>
      </c>
      <c r="C33" s="395">
        <v>12</v>
      </c>
      <c r="D33" s="352">
        <v>19965</v>
      </c>
      <c r="E33" s="402" t="s">
        <v>1018</v>
      </c>
      <c r="F33" s="352">
        <f>+B33*C33*D33</f>
        <v>239580</v>
      </c>
      <c r="G33" s="352">
        <f>+C33*B33*375</f>
        <v>4500</v>
      </c>
      <c r="H33" s="352">
        <f>+B33*C33*250</f>
        <v>3000</v>
      </c>
      <c r="I33" s="399">
        <v>0</v>
      </c>
      <c r="J33" s="352">
        <f>+B33*C33*6000</f>
        <v>72000</v>
      </c>
      <c r="K33" s="399">
        <f>(D33+375)*B33</f>
        <v>20340</v>
      </c>
      <c r="L33" s="399">
        <f>+K33</f>
        <v>20340</v>
      </c>
      <c r="M33" s="399">
        <f>200*B33</f>
        <v>200</v>
      </c>
      <c r="N33" s="352">
        <v>0</v>
      </c>
      <c r="O33" s="352">
        <v>0</v>
      </c>
      <c r="P33" s="352">
        <v>0</v>
      </c>
      <c r="Q33" s="352">
        <v>0</v>
      </c>
      <c r="R33" s="352">
        <v>0</v>
      </c>
      <c r="S33" s="352">
        <v>0</v>
      </c>
      <c r="T33" s="352">
        <v>0</v>
      </c>
      <c r="U33" s="352">
        <v>0</v>
      </c>
      <c r="V33" s="352">
        <v>0</v>
      </c>
      <c r="W33" s="352">
        <v>0</v>
      </c>
      <c r="X33" s="353"/>
      <c r="Y33" s="353"/>
    </row>
    <row r="34" spans="1:25" s="351" customFormat="1" ht="11.25">
      <c r="A34" s="403" t="s">
        <v>707</v>
      </c>
      <c r="B34" s="394">
        <v>3</v>
      </c>
      <c r="C34" s="395">
        <v>12</v>
      </c>
      <c r="D34" s="352">
        <v>17303</v>
      </c>
      <c r="E34" s="402" t="s">
        <v>1018</v>
      </c>
      <c r="F34" s="352">
        <f>+B34*C34*D34</f>
        <v>622908</v>
      </c>
      <c r="G34" s="352">
        <f>+C34*B34*375</f>
        <v>13500</v>
      </c>
      <c r="H34" s="352">
        <f>+B34*C34*250</f>
        <v>9000</v>
      </c>
      <c r="I34" s="399">
        <v>0</v>
      </c>
      <c r="J34" s="352">
        <v>0</v>
      </c>
      <c r="K34" s="399">
        <f>+(D34+375)*B34</f>
        <v>53034</v>
      </c>
      <c r="L34" s="399">
        <f>+K34</f>
        <v>53034</v>
      </c>
      <c r="M34" s="399">
        <f>200*B34</f>
        <v>600</v>
      </c>
      <c r="N34" s="352">
        <v>0</v>
      </c>
      <c r="O34" s="352">
        <v>0</v>
      </c>
      <c r="P34" s="352">
        <v>0</v>
      </c>
      <c r="Q34" s="352">
        <v>0</v>
      </c>
      <c r="R34" s="352">
        <v>0</v>
      </c>
      <c r="S34" s="352">
        <v>0</v>
      </c>
      <c r="T34" s="352">
        <v>0</v>
      </c>
      <c r="U34" s="352">
        <v>0</v>
      </c>
      <c r="V34" s="352">
        <v>0</v>
      </c>
      <c r="W34" s="352">
        <v>0</v>
      </c>
      <c r="X34" s="353"/>
      <c r="Y34" s="353"/>
    </row>
    <row r="35" spans="1:25" s="351" customFormat="1" ht="11.25">
      <c r="A35" s="403" t="s">
        <v>708</v>
      </c>
      <c r="B35" s="394">
        <v>1</v>
      </c>
      <c r="C35" s="395">
        <v>12</v>
      </c>
      <c r="D35" s="352">
        <v>10648</v>
      </c>
      <c r="E35" s="402" t="s">
        <v>1018</v>
      </c>
      <c r="F35" s="352">
        <f>+B35*C35*D35</f>
        <v>127776</v>
      </c>
      <c r="G35" s="352">
        <v>0</v>
      </c>
      <c r="H35" s="352">
        <f>+B35*C35*250</f>
        <v>3000</v>
      </c>
      <c r="I35" s="399">
        <v>0</v>
      </c>
      <c r="J35" s="352">
        <v>0</v>
      </c>
      <c r="K35" s="399">
        <f>+D35*B35</f>
        <v>10648</v>
      </c>
      <c r="L35" s="399">
        <f>+K35</f>
        <v>10648</v>
      </c>
      <c r="M35" s="399">
        <f>200*B35</f>
        <v>200</v>
      </c>
      <c r="N35" s="352">
        <v>0</v>
      </c>
      <c r="O35" s="352">
        <v>0</v>
      </c>
      <c r="P35" s="352">
        <v>0</v>
      </c>
      <c r="Q35" s="352">
        <v>0</v>
      </c>
      <c r="R35" s="352">
        <v>0</v>
      </c>
      <c r="S35" s="352">
        <v>0</v>
      </c>
      <c r="T35" s="352">
        <v>0</v>
      </c>
      <c r="U35" s="352">
        <v>0</v>
      </c>
      <c r="V35" s="352">
        <v>0</v>
      </c>
      <c r="W35" s="352">
        <v>0</v>
      </c>
      <c r="X35" s="353"/>
      <c r="Y35" s="353"/>
    </row>
    <row r="36" spans="1:25" s="351" customFormat="1" ht="11.25">
      <c r="A36" s="403" t="s">
        <v>709</v>
      </c>
      <c r="B36" s="394">
        <v>1</v>
      </c>
      <c r="C36" s="395">
        <v>12</v>
      </c>
      <c r="D36" s="352">
        <v>6655</v>
      </c>
      <c r="E36" s="402" t="s">
        <v>1018</v>
      </c>
      <c r="F36" s="352">
        <f>+D36*C36*B36</f>
        <v>79860</v>
      </c>
      <c r="G36" s="352">
        <v>0</v>
      </c>
      <c r="H36" s="352">
        <f>+B36*C36*250</f>
        <v>3000</v>
      </c>
      <c r="I36" s="399">
        <v>0</v>
      </c>
      <c r="J36" s="352">
        <v>0</v>
      </c>
      <c r="K36" s="399">
        <f>+D36*B36</f>
        <v>6655</v>
      </c>
      <c r="L36" s="399">
        <v>6655</v>
      </c>
      <c r="M36" s="399">
        <f>200*B36</f>
        <v>200</v>
      </c>
      <c r="N36" s="352">
        <v>0</v>
      </c>
      <c r="O36" s="352">
        <v>0</v>
      </c>
      <c r="P36" s="352">
        <v>0</v>
      </c>
      <c r="Q36" s="352">
        <v>0</v>
      </c>
      <c r="R36" s="352">
        <v>0</v>
      </c>
      <c r="S36" s="352">
        <v>0</v>
      </c>
      <c r="T36" s="352">
        <v>0</v>
      </c>
      <c r="U36" s="352">
        <v>0</v>
      </c>
      <c r="V36" s="352">
        <v>0</v>
      </c>
      <c r="W36" s="352">
        <v>0</v>
      </c>
      <c r="X36" s="353"/>
      <c r="Y36" s="353"/>
    </row>
    <row r="37" spans="1:25" s="351" customFormat="1" ht="11.25">
      <c r="A37" s="393" t="s">
        <v>710</v>
      </c>
      <c r="B37" s="394">
        <v>1</v>
      </c>
      <c r="C37" s="395">
        <v>12</v>
      </c>
      <c r="D37" s="352">
        <v>6655</v>
      </c>
      <c r="E37" s="402" t="s">
        <v>1018</v>
      </c>
      <c r="F37" s="352">
        <f>+B37*C37*D37</f>
        <v>79860</v>
      </c>
      <c r="G37" s="352">
        <v>0</v>
      </c>
      <c r="H37" s="352">
        <f>+B37*C37*250</f>
        <v>3000</v>
      </c>
      <c r="I37" s="399">
        <v>0</v>
      </c>
      <c r="J37" s="352">
        <v>0</v>
      </c>
      <c r="K37" s="399">
        <f>+D37*B37</f>
        <v>6655</v>
      </c>
      <c r="L37" s="399">
        <f>+K37</f>
        <v>6655</v>
      </c>
      <c r="M37" s="399">
        <f>200*B37</f>
        <v>200</v>
      </c>
      <c r="N37" s="352">
        <v>0</v>
      </c>
      <c r="O37" s="352">
        <v>0</v>
      </c>
      <c r="P37" s="352">
        <v>0</v>
      </c>
      <c r="Q37" s="352">
        <v>0</v>
      </c>
      <c r="R37" s="352">
        <v>0</v>
      </c>
      <c r="S37" s="352">
        <v>0</v>
      </c>
      <c r="T37" s="352">
        <v>0</v>
      </c>
      <c r="U37" s="352">
        <v>0</v>
      </c>
      <c r="V37" s="352">
        <v>0</v>
      </c>
      <c r="W37" s="352">
        <v>0</v>
      </c>
      <c r="X37" s="353"/>
      <c r="Y37" s="353"/>
    </row>
    <row r="38" spans="1:25" s="351" customFormat="1" ht="11.25">
      <c r="A38" s="403" t="s">
        <v>1025</v>
      </c>
      <c r="B38" s="394">
        <v>0</v>
      </c>
      <c r="C38" s="395">
        <v>12</v>
      </c>
      <c r="D38" s="352">
        <v>0</v>
      </c>
      <c r="E38" s="402" t="s">
        <v>1018</v>
      </c>
      <c r="F38" s="352">
        <f>+B38*C38</f>
        <v>0</v>
      </c>
      <c r="G38" s="352">
        <v>0</v>
      </c>
      <c r="H38" s="352">
        <v>0</v>
      </c>
      <c r="I38" s="352">
        <v>0</v>
      </c>
      <c r="J38" s="352">
        <v>0</v>
      </c>
      <c r="K38" s="352">
        <v>0</v>
      </c>
      <c r="L38" s="352">
        <v>0</v>
      </c>
      <c r="M38" s="352">
        <v>0</v>
      </c>
      <c r="N38" s="352">
        <v>150000</v>
      </c>
      <c r="O38" s="352">
        <v>0</v>
      </c>
      <c r="P38" s="352">
        <v>0</v>
      </c>
      <c r="Q38" s="352">
        <v>0</v>
      </c>
      <c r="R38" s="352">
        <v>0</v>
      </c>
      <c r="S38" s="352">
        <v>0</v>
      </c>
      <c r="T38" s="352">
        <v>0</v>
      </c>
      <c r="U38" s="352">
        <v>0</v>
      </c>
      <c r="V38" s="352">
        <v>0</v>
      </c>
      <c r="W38" s="352">
        <v>0</v>
      </c>
      <c r="X38" s="353"/>
      <c r="Y38" s="353"/>
    </row>
    <row r="39" spans="1:25" s="351" customFormat="1" ht="11.25">
      <c r="A39" s="403" t="s">
        <v>1027</v>
      </c>
      <c r="B39" s="394">
        <v>0</v>
      </c>
      <c r="C39" s="395">
        <v>12</v>
      </c>
      <c r="D39" s="352">
        <v>0</v>
      </c>
      <c r="E39" s="402" t="s">
        <v>1018</v>
      </c>
      <c r="F39" s="352">
        <f t="shared" ref="F39:F42" si="8">+B39*C39</f>
        <v>0</v>
      </c>
      <c r="G39" s="352">
        <v>0</v>
      </c>
      <c r="H39" s="352">
        <v>0</v>
      </c>
      <c r="I39" s="352">
        <v>0</v>
      </c>
      <c r="J39" s="352">
        <v>0</v>
      </c>
      <c r="K39" s="352">
        <v>0</v>
      </c>
      <c r="L39" s="352">
        <v>0</v>
      </c>
      <c r="M39" s="352">
        <v>0</v>
      </c>
      <c r="N39" s="352">
        <v>0</v>
      </c>
      <c r="O39" s="352">
        <v>50000</v>
      </c>
      <c r="P39" s="352">
        <v>0</v>
      </c>
      <c r="Q39" s="352">
        <v>0</v>
      </c>
      <c r="R39" s="352">
        <v>0</v>
      </c>
      <c r="S39" s="352">
        <v>0</v>
      </c>
      <c r="T39" s="352">
        <v>0</v>
      </c>
      <c r="U39" s="352">
        <v>0</v>
      </c>
      <c r="V39" s="352">
        <v>0</v>
      </c>
      <c r="W39" s="352">
        <v>0</v>
      </c>
      <c r="X39" s="353"/>
      <c r="Y39" s="353"/>
    </row>
    <row r="40" spans="1:25" s="351" customFormat="1" ht="11.25">
      <c r="A40" s="403" t="s">
        <v>1020</v>
      </c>
      <c r="B40" s="401">
        <v>1</v>
      </c>
      <c r="C40" s="395">
        <v>6</v>
      </c>
      <c r="D40" s="11">
        <v>75000</v>
      </c>
      <c r="E40" s="402" t="s">
        <v>1018</v>
      </c>
      <c r="F40" s="352">
        <v>0</v>
      </c>
      <c r="G40" s="352">
        <v>0</v>
      </c>
      <c r="H40" s="352">
        <v>0</v>
      </c>
      <c r="I40" s="352">
        <v>0</v>
      </c>
      <c r="J40" s="352">
        <v>0</v>
      </c>
      <c r="K40" s="352">
        <v>0</v>
      </c>
      <c r="L40" s="352">
        <v>0</v>
      </c>
      <c r="M40" s="352">
        <v>0</v>
      </c>
      <c r="N40" s="352">
        <v>0</v>
      </c>
      <c r="O40" s="352">
        <v>0</v>
      </c>
      <c r="P40" s="352">
        <f>+B40*C40*D40</f>
        <v>450000</v>
      </c>
      <c r="Q40" s="352">
        <v>0</v>
      </c>
      <c r="R40" s="352">
        <v>0</v>
      </c>
      <c r="S40" s="352">
        <v>0</v>
      </c>
      <c r="T40" s="352">
        <v>0</v>
      </c>
      <c r="U40" s="352">
        <v>0</v>
      </c>
      <c r="V40" s="352">
        <v>0</v>
      </c>
      <c r="W40" s="352">
        <v>0</v>
      </c>
      <c r="X40" s="353"/>
      <c r="Y40" s="353"/>
    </row>
    <row r="41" spans="1:25" s="351" customFormat="1" ht="11.25">
      <c r="A41" s="403" t="s">
        <v>963</v>
      </c>
      <c r="B41" s="394">
        <v>0</v>
      </c>
      <c r="C41" s="395">
        <v>12</v>
      </c>
      <c r="D41" s="352">
        <v>0</v>
      </c>
      <c r="E41" s="402" t="s">
        <v>1018</v>
      </c>
      <c r="F41" s="352">
        <f t="shared" si="8"/>
        <v>0</v>
      </c>
      <c r="G41" s="352">
        <v>0</v>
      </c>
      <c r="H41" s="352">
        <v>0</v>
      </c>
      <c r="I41" s="352">
        <v>0</v>
      </c>
      <c r="J41" s="352">
        <v>0</v>
      </c>
      <c r="K41" s="352">
        <v>0</v>
      </c>
      <c r="L41" s="352">
        <v>0</v>
      </c>
      <c r="M41" s="352">
        <v>0</v>
      </c>
      <c r="N41" s="352">
        <v>0</v>
      </c>
      <c r="O41" s="352">
        <v>0</v>
      </c>
      <c r="P41" s="352">
        <v>0</v>
      </c>
      <c r="Q41" s="352">
        <v>0</v>
      </c>
      <c r="R41" s="352">
        <v>0</v>
      </c>
      <c r="S41" s="352">
        <v>0</v>
      </c>
      <c r="T41" s="352">
        <v>0</v>
      </c>
      <c r="U41" s="352">
        <v>0</v>
      </c>
      <c r="V41" s="352">
        <v>500000</v>
      </c>
      <c r="W41" s="352"/>
      <c r="X41" s="353"/>
      <c r="Y41" s="353"/>
    </row>
    <row r="42" spans="1:25" s="351" customFormat="1" ht="11.25">
      <c r="A42" s="403" t="s">
        <v>964</v>
      </c>
      <c r="B42" s="394">
        <v>0</v>
      </c>
      <c r="C42" s="395">
        <v>12</v>
      </c>
      <c r="D42" s="352">
        <v>0</v>
      </c>
      <c r="E42" s="402" t="s">
        <v>1018</v>
      </c>
      <c r="F42" s="352">
        <f t="shared" si="8"/>
        <v>0</v>
      </c>
      <c r="G42" s="352">
        <v>0</v>
      </c>
      <c r="H42" s="352">
        <v>0</v>
      </c>
      <c r="I42" s="352">
        <v>0</v>
      </c>
      <c r="J42" s="352">
        <v>0</v>
      </c>
      <c r="K42" s="352">
        <v>0</v>
      </c>
      <c r="L42" s="352">
        <v>0</v>
      </c>
      <c r="M42" s="352">
        <v>0</v>
      </c>
      <c r="N42" s="352">
        <v>0</v>
      </c>
      <c r="O42" s="352">
        <v>0</v>
      </c>
      <c r="P42" s="352">
        <v>0</v>
      </c>
      <c r="Q42" s="352">
        <v>0</v>
      </c>
      <c r="R42" s="352">
        <v>0</v>
      </c>
      <c r="S42" s="352">
        <v>0</v>
      </c>
      <c r="T42" s="352">
        <v>0</v>
      </c>
      <c r="U42" s="352">
        <v>0</v>
      </c>
      <c r="V42" s="352">
        <v>0</v>
      </c>
      <c r="W42" s="352">
        <v>300000</v>
      </c>
      <c r="X42" s="353"/>
      <c r="Y42" s="353"/>
    </row>
    <row r="43" spans="1:25" s="351" customFormat="1" ht="11.25">
      <c r="A43" s="409" t="s">
        <v>1028</v>
      </c>
      <c r="B43" s="405">
        <f>SUM(B33:B42)</f>
        <v>8</v>
      </c>
      <c r="C43" s="406"/>
      <c r="D43" s="407">
        <f>SUM(D33:D42)</f>
        <v>136226</v>
      </c>
      <c r="E43" s="406"/>
      <c r="F43" s="407">
        <f t="shared" ref="F43:W43" si="9">SUM(F33:F42)</f>
        <v>1149984</v>
      </c>
      <c r="G43" s="407">
        <f t="shared" si="9"/>
        <v>18000</v>
      </c>
      <c r="H43" s="407">
        <f t="shared" si="9"/>
        <v>21000</v>
      </c>
      <c r="I43" s="407">
        <f t="shared" si="9"/>
        <v>0</v>
      </c>
      <c r="J43" s="407">
        <f t="shared" si="9"/>
        <v>72000</v>
      </c>
      <c r="K43" s="407">
        <f t="shared" si="9"/>
        <v>97332</v>
      </c>
      <c r="L43" s="407">
        <f t="shared" si="9"/>
        <v>97332</v>
      </c>
      <c r="M43" s="407">
        <f t="shared" si="9"/>
        <v>1400</v>
      </c>
      <c r="N43" s="407">
        <f t="shared" si="9"/>
        <v>150000</v>
      </c>
      <c r="O43" s="407">
        <f>SUM(O33:O42)</f>
        <v>50000</v>
      </c>
      <c r="P43" s="407">
        <f t="shared" ref="P43:U43" si="10">SUM(P33:P42)</f>
        <v>450000</v>
      </c>
      <c r="Q43" s="407">
        <f t="shared" si="10"/>
        <v>0</v>
      </c>
      <c r="R43" s="407">
        <f t="shared" si="10"/>
        <v>0</v>
      </c>
      <c r="S43" s="407">
        <f t="shared" si="10"/>
        <v>0</v>
      </c>
      <c r="T43" s="407">
        <f t="shared" si="10"/>
        <v>0</v>
      </c>
      <c r="U43" s="407">
        <f t="shared" si="10"/>
        <v>0</v>
      </c>
      <c r="V43" s="407">
        <f t="shared" si="9"/>
        <v>500000</v>
      </c>
      <c r="W43" s="407">
        <f t="shared" si="9"/>
        <v>300000</v>
      </c>
      <c r="X43" s="353"/>
      <c r="Y43" s="353"/>
    </row>
    <row r="44" spans="1:25" s="351" customFormat="1" ht="11.25">
      <c r="A44" s="403" t="s">
        <v>711</v>
      </c>
      <c r="B44" s="394">
        <v>1</v>
      </c>
      <c r="C44" s="395">
        <v>12</v>
      </c>
      <c r="D44" s="352">
        <v>19965</v>
      </c>
      <c r="E44" s="402" t="s">
        <v>1019</v>
      </c>
      <c r="F44" s="352">
        <f>+B44*C44*D44</f>
        <v>239580</v>
      </c>
      <c r="G44" s="352">
        <f>+B44*C44*375</f>
        <v>4500</v>
      </c>
      <c r="H44" s="352">
        <f>+B44*C44*250</f>
        <v>3000</v>
      </c>
      <c r="I44" s="399">
        <v>0</v>
      </c>
      <c r="J44" s="352">
        <f>+B44*C44*6000</f>
        <v>72000</v>
      </c>
      <c r="K44" s="399">
        <f>+D44+375*B44</f>
        <v>20340</v>
      </c>
      <c r="L44" s="399">
        <f>+K44</f>
        <v>20340</v>
      </c>
      <c r="M44" s="399">
        <f t="shared" ref="M44:M50" si="11">200*B44</f>
        <v>200</v>
      </c>
      <c r="N44" s="352">
        <v>0</v>
      </c>
      <c r="O44" s="352">
        <v>0</v>
      </c>
      <c r="P44" s="352">
        <v>0</v>
      </c>
      <c r="Q44" s="352">
        <v>0</v>
      </c>
      <c r="R44" s="352">
        <v>0</v>
      </c>
      <c r="S44" s="352">
        <v>0</v>
      </c>
      <c r="T44" s="352">
        <v>0</v>
      </c>
      <c r="U44" s="352">
        <v>0</v>
      </c>
      <c r="V44" s="352">
        <v>0</v>
      </c>
      <c r="W44" s="352">
        <v>0</v>
      </c>
      <c r="X44" s="353"/>
      <c r="Y44" s="353"/>
    </row>
    <row r="45" spans="1:25" s="351" customFormat="1" ht="11.25">
      <c r="A45" s="403" t="s">
        <v>712</v>
      </c>
      <c r="B45" s="394">
        <v>3</v>
      </c>
      <c r="C45" s="395">
        <v>12</v>
      </c>
      <c r="D45" s="352">
        <v>17303</v>
      </c>
      <c r="E45" s="402" t="s">
        <v>1019</v>
      </c>
      <c r="F45" s="352">
        <f>+B45*C45*D45</f>
        <v>622908</v>
      </c>
      <c r="G45" s="352">
        <f>+B45*C45*375</f>
        <v>13500</v>
      </c>
      <c r="H45" s="352">
        <f>+B45*C45*250</f>
        <v>9000</v>
      </c>
      <c r="I45" s="399">
        <v>0</v>
      </c>
      <c r="J45" s="352">
        <v>0</v>
      </c>
      <c r="K45" s="399">
        <f>+(D45+375)*B45</f>
        <v>53034</v>
      </c>
      <c r="L45" s="399">
        <f>+K45</f>
        <v>53034</v>
      </c>
      <c r="M45" s="399">
        <f t="shared" si="11"/>
        <v>600</v>
      </c>
      <c r="N45" s="352">
        <v>0</v>
      </c>
      <c r="O45" s="352">
        <v>0</v>
      </c>
      <c r="P45" s="352">
        <v>0</v>
      </c>
      <c r="Q45" s="352">
        <v>0</v>
      </c>
      <c r="R45" s="352">
        <v>0</v>
      </c>
      <c r="S45" s="352">
        <v>0</v>
      </c>
      <c r="T45" s="352">
        <v>0</v>
      </c>
      <c r="U45" s="352">
        <v>0</v>
      </c>
      <c r="V45" s="352">
        <v>0</v>
      </c>
      <c r="W45" s="352">
        <v>0</v>
      </c>
      <c r="X45" s="353"/>
      <c r="Y45" s="353"/>
    </row>
    <row r="46" spans="1:25" s="351" customFormat="1" ht="11.25">
      <c r="A46" s="403" t="s">
        <v>713</v>
      </c>
      <c r="B46" s="394">
        <v>1</v>
      </c>
      <c r="C46" s="395">
        <v>12</v>
      </c>
      <c r="D46" s="352">
        <v>14641</v>
      </c>
      <c r="E46" s="402" t="s">
        <v>1019</v>
      </c>
      <c r="F46" s="352">
        <f>+B46*C46*D46</f>
        <v>175692</v>
      </c>
      <c r="G46" s="352">
        <f>+B46*C46*375</f>
        <v>4500</v>
      </c>
      <c r="H46" s="352">
        <f>+B46*C46*250</f>
        <v>3000</v>
      </c>
      <c r="I46" s="399">
        <v>0</v>
      </c>
      <c r="J46" s="352">
        <v>0</v>
      </c>
      <c r="K46" s="399">
        <f>+(D46+375)*B46</f>
        <v>15016</v>
      </c>
      <c r="L46" s="399">
        <f>+K46</f>
        <v>15016</v>
      </c>
      <c r="M46" s="399">
        <f t="shared" si="11"/>
        <v>200</v>
      </c>
      <c r="N46" s="352">
        <v>0</v>
      </c>
      <c r="O46" s="352">
        <v>0</v>
      </c>
      <c r="P46" s="352">
        <v>0</v>
      </c>
      <c r="Q46" s="352">
        <v>0</v>
      </c>
      <c r="R46" s="352">
        <v>0</v>
      </c>
      <c r="S46" s="352">
        <v>0</v>
      </c>
      <c r="T46" s="352">
        <v>0</v>
      </c>
      <c r="U46" s="352">
        <v>0</v>
      </c>
      <c r="V46" s="352">
        <v>0</v>
      </c>
      <c r="W46" s="352">
        <v>0</v>
      </c>
      <c r="X46" s="353"/>
      <c r="Y46" s="353"/>
    </row>
    <row r="47" spans="1:25" s="351" customFormat="1" ht="11.25">
      <c r="A47" s="403" t="s">
        <v>714</v>
      </c>
      <c r="B47" s="394">
        <v>1</v>
      </c>
      <c r="C47" s="395">
        <v>12</v>
      </c>
      <c r="D47" s="352">
        <v>10648</v>
      </c>
      <c r="E47" s="402" t="s">
        <v>1019</v>
      </c>
      <c r="F47" s="352">
        <f>+B47*C47*D47</f>
        <v>127776</v>
      </c>
      <c r="G47" s="352">
        <v>0</v>
      </c>
      <c r="H47" s="352">
        <f>+B47*C47*250</f>
        <v>3000</v>
      </c>
      <c r="I47" s="399">
        <v>0</v>
      </c>
      <c r="J47" s="352">
        <v>0</v>
      </c>
      <c r="K47" s="399">
        <f>+B47*D47</f>
        <v>10648</v>
      </c>
      <c r="L47" s="399">
        <f>+K47</f>
        <v>10648</v>
      </c>
      <c r="M47" s="399">
        <f t="shared" si="11"/>
        <v>200</v>
      </c>
      <c r="N47" s="352">
        <v>0</v>
      </c>
      <c r="O47" s="352">
        <v>0</v>
      </c>
      <c r="P47" s="352">
        <v>0</v>
      </c>
      <c r="Q47" s="352">
        <v>0</v>
      </c>
      <c r="R47" s="352">
        <v>0</v>
      </c>
      <c r="S47" s="352">
        <v>0</v>
      </c>
      <c r="T47" s="352">
        <v>0</v>
      </c>
      <c r="U47" s="352">
        <v>0</v>
      </c>
      <c r="V47" s="352">
        <v>0</v>
      </c>
      <c r="W47" s="352">
        <v>0</v>
      </c>
      <c r="X47" s="353"/>
      <c r="Y47" s="353"/>
    </row>
    <row r="48" spans="1:25" s="351" customFormat="1" ht="11.25">
      <c r="A48" s="403" t="s">
        <v>715</v>
      </c>
      <c r="B48" s="394">
        <v>1</v>
      </c>
      <c r="C48" s="395">
        <v>12</v>
      </c>
      <c r="D48" s="352">
        <v>5058</v>
      </c>
      <c r="E48" s="402" t="s">
        <v>1019</v>
      </c>
      <c r="F48" s="352">
        <f>+B48*C48*D48</f>
        <v>60696</v>
      </c>
      <c r="G48" s="352">
        <v>0</v>
      </c>
      <c r="H48" s="352">
        <f>+B48*C48*250</f>
        <v>3000</v>
      </c>
      <c r="I48" s="399">
        <v>0</v>
      </c>
      <c r="J48" s="352">
        <v>0</v>
      </c>
      <c r="K48" s="399">
        <f>+B48*D48</f>
        <v>5058</v>
      </c>
      <c r="L48" s="399">
        <f>+K48</f>
        <v>5058</v>
      </c>
      <c r="M48" s="399">
        <f t="shared" si="11"/>
        <v>200</v>
      </c>
      <c r="N48" s="352">
        <v>0</v>
      </c>
      <c r="O48" s="352">
        <v>0</v>
      </c>
      <c r="P48" s="352">
        <v>0</v>
      </c>
      <c r="Q48" s="352">
        <v>0</v>
      </c>
      <c r="R48" s="352">
        <v>0</v>
      </c>
      <c r="S48" s="352">
        <v>0</v>
      </c>
      <c r="T48" s="352">
        <v>0</v>
      </c>
      <c r="U48" s="352">
        <v>0</v>
      </c>
      <c r="V48" s="352">
        <v>0</v>
      </c>
      <c r="W48" s="352">
        <v>0</v>
      </c>
      <c r="X48" s="353"/>
      <c r="Y48" s="353"/>
    </row>
    <row r="49" spans="1:25" s="351" customFormat="1" ht="11.25">
      <c r="A49" s="403" t="s">
        <v>1025</v>
      </c>
      <c r="B49" s="410">
        <v>0</v>
      </c>
      <c r="C49" s="395">
        <v>12</v>
      </c>
      <c r="D49" s="411">
        <v>0</v>
      </c>
      <c r="E49" s="402" t="s">
        <v>1019</v>
      </c>
      <c r="F49" s="411">
        <v>0</v>
      </c>
      <c r="G49" s="411">
        <v>0</v>
      </c>
      <c r="H49" s="411">
        <v>0</v>
      </c>
      <c r="I49" s="411">
        <v>0</v>
      </c>
      <c r="J49" s="411">
        <v>0</v>
      </c>
      <c r="K49" s="411">
        <v>0</v>
      </c>
      <c r="L49" s="411">
        <v>0</v>
      </c>
      <c r="M49" s="352">
        <f t="shared" si="11"/>
        <v>0</v>
      </c>
      <c r="N49" s="399">
        <v>150000</v>
      </c>
      <c r="O49" s="352">
        <v>0</v>
      </c>
      <c r="P49" s="352">
        <v>0</v>
      </c>
      <c r="Q49" s="352">
        <v>0</v>
      </c>
      <c r="R49" s="352">
        <v>0</v>
      </c>
      <c r="S49" s="352">
        <v>0</v>
      </c>
      <c r="T49" s="352">
        <v>0</v>
      </c>
      <c r="U49" s="352">
        <v>0</v>
      </c>
      <c r="V49" s="352">
        <v>0</v>
      </c>
      <c r="W49" s="352">
        <v>0</v>
      </c>
      <c r="X49" s="353"/>
      <c r="Y49" s="353"/>
    </row>
    <row r="50" spans="1:25" s="351" customFormat="1" ht="11.25">
      <c r="A50" s="403" t="s">
        <v>1027</v>
      </c>
      <c r="B50" s="410">
        <v>0</v>
      </c>
      <c r="C50" s="395">
        <v>12</v>
      </c>
      <c r="D50" s="411">
        <v>0</v>
      </c>
      <c r="E50" s="402" t="s">
        <v>1019</v>
      </c>
      <c r="F50" s="411">
        <v>0</v>
      </c>
      <c r="G50" s="411">
        <v>0</v>
      </c>
      <c r="H50" s="411">
        <v>0</v>
      </c>
      <c r="I50" s="411">
        <v>0</v>
      </c>
      <c r="J50" s="411">
        <v>0</v>
      </c>
      <c r="K50" s="411">
        <v>0</v>
      </c>
      <c r="L50" s="411">
        <v>0</v>
      </c>
      <c r="M50" s="352">
        <f t="shared" si="11"/>
        <v>0</v>
      </c>
      <c r="N50" s="399">
        <v>0</v>
      </c>
      <c r="O50" s="399">
        <v>150000</v>
      </c>
      <c r="P50" s="352">
        <v>0</v>
      </c>
      <c r="Q50" s="352">
        <v>0</v>
      </c>
      <c r="R50" s="352">
        <v>0</v>
      </c>
      <c r="S50" s="352">
        <v>0</v>
      </c>
      <c r="T50" s="352">
        <v>0</v>
      </c>
      <c r="U50" s="352">
        <v>0</v>
      </c>
      <c r="V50" s="352">
        <v>0</v>
      </c>
      <c r="W50" s="352">
        <v>0</v>
      </c>
      <c r="X50" s="353"/>
      <c r="Y50" s="353"/>
    </row>
    <row r="51" spans="1:25" s="351" customFormat="1" ht="11.25">
      <c r="A51" s="403" t="s">
        <v>1020</v>
      </c>
      <c r="B51" s="401">
        <v>1</v>
      </c>
      <c r="C51" s="395">
        <v>6</v>
      </c>
      <c r="D51" s="11">
        <v>75000</v>
      </c>
      <c r="E51" s="402" t="s">
        <v>1019</v>
      </c>
      <c r="F51" s="411">
        <v>0</v>
      </c>
      <c r="G51" s="411">
        <v>0</v>
      </c>
      <c r="H51" s="411">
        <v>0</v>
      </c>
      <c r="I51" s="411">
        <v>0</v>
      </c>
      <c r="J51" s="411">
        <v>0</v>
      </c>
      <c r="K51" s="411">
        <v>0</v>
      </c>
      <c r="L51" s="411">
        <v>0</v>
      </c>
      <c r="M51" s="352">
        <v>0</v>
      </c>
      <c r="N51" s="399">
        <v>0</v>
      </c>
      <c r="O51" s="399">
        <v>0</v>
      </c>
      <c r="P51" s="352">
        <f>+B51*C51*D51</f>
        <v>450000</v>
      </c>
      <c r="Q51" s="352">
        <v>0</v>
      </c>
      <c r="R51" s="352">
        <v>0</v>
      </c>
      <c r="S51" s="352">
        <v>0</v>
      </c>
      <c r="T51" s="352">
        <v>0</v>
      </c>
      <c r="U51" s="352">
        <v>0</v>
      </c>
      <c r="V51" s="352">
        <v>0</v>
      </c>
      <c r="W51" s="352">
        <v>0</v>
      </c>
      <c r="X51" s="353"/>
      <c r="Y51" s="353"/>
    </row>
    <row r="52" spans="1:25" s="351" customFormat="1" ht="11.25">
      <c r="A52" s="403" t="s">
        <v>963</v>
      </c>
      <c r="B52" s="410">
        <v>0</v>
      </c>
      <c r="C52" s="395">
        <v>12</v>
      </c>
      <c r="D52" s="411">
        <v>0</v>
      </c>
      <c r="E52" s="402" t="s">
        <v>1019</v>
      </c>
      <c r="F52" s="411">
        <v>0</v>
      </c>
      <c r="G52" s="411">
        <v>0</v>
      </c>
      <c r="H52" s="411">
        <v>0</v>
      </c>
      <c r="I52" s="411">
        <v>0</v>
      </c>
      <c r="J52" s="411">
        <v>0</v>
      </c>
      <c r="K52" s="411">
        <v>0</v>
      </c>
      <c r="L52" s="411">
        <v>0</v>
      </c>
      <c r="M52" s="352">
        <f>200*B52</f>
        <v>0</v>
      </c>
      <c r="N52" s="352">
        <v>0</v>
      </c>
      <c r="O52" s="352">
        <v>0</v>
      </c>
      <c r="P52" s="352">
        <v>0</v>
      </c>
      <c r="Q52" s="352">
        <v>0</v>
      </c>
      <c r="R52" s="352">
        <v>0</v>
      </c>
      <c r="S52" s="352">
        <v>0</v>
      </c>
      <c r="T52" s="352">
        <v>0</v>
      </c>
      <c r="U52" s="352">
        <v>0</v>
      </c>
      <c r="V52" s="352">
        <v>500000</v>
      </c>
      <c r="W52" s="352">
        <v>0</v>
      </c>
      <c r="X52" s="353"/>
      <c r="Y52" s="353"/>
    </row>
    <row r="53" spans="1:25" s="351" customFormat="1" ht="11.25">
      <c r="A53" s="403" t="s">
        <v>964</v>
      </c>
      <c r="B53" s="410">
        <v>0</v>
      </c>
      <c r="C53" s="395">
        <v>12</v>
      </c>
      <c r="D53" s="411">
        <v>0</v>
      </c>
      <c r="E53" s="402" t="s">
        <v>1019</v>
      </c>
      <c r="F53" s="411">
        <v>0</v>
      </c>
      <c r="G53" s="411">
        <v>0</v>
      </c>
      <c r="H53" s="411">
        <v>0</v>
      </c>
      <c r="I53" s="411">
        <v>0</v>
      </c>
      <c r="J53" s="411">
        <v>0</v>
      </c>
      <c r="K53" s="411">
        <v>0</v>
      </c>
      <c r="L53" s="411">
        <v>0</v>
      </c>
      <c r="M53" s="352">
        <f>200*B53</f>
        <v>0</v>
      </c>
      <c r="N53" s="352">
        <v>0</v>
      </c>
      <c r="O53" s="352">
        <v>0</v>
      </c>
      <c r="P53" s="352">
        <v>0</v>
      </c>
      <c r="Q53" s="352">
        <v>0</v>
      </c>
      <c r="R53" s="352">
        <v>0</v>
      </c>
      <c r="S53" s="352">
        <v>0</v>
      </c>
      <c r="T53" s="352">
        <v>0</v>
      </c>
      <c r="U53" s="352">
        <v>0</v>
      </c>
      <c r="V53" s="352">
        <v>0</v>
      </c>
      <c r="W53" s="352">
        <v>300000</v>
      </c>
      <c r="X53" s="353"/>
      <c r="Y53" s="353"/>
    </row>
    <row r="54" spans="1:25" s="351" customFormat="1" ht="12" thickBot="1">
      <c r="A54" s="412" t="s">
        <v>1031</v>
      </c>
      <c r="B54" s="413">
        <f>SUM(B44:B53)</f>
        <v>8</v>
      </c>
      <c r="C54" s="414"/>
      <c r="D54" s="415">
        <f>SUM(D44:D53)</f>
        <v>142615</v>
      </c>
      <c r="E54" s="414"/>
      <c r="F54" s="416">
        <f>SUM(F44:F53)</f>
        <v>1226652</v>
      </c>
      <c r="G54" s="416">
        <f t="shared" ref="G54:W54" si="12">SUM(G44:G53)</f>
        <v>22500</v>
      </c>
      <c r="H54" s="416">
        <f t="shared" si="12"/>
        <v>21000</v>
      </c>
      <c r="I54" s="416">
        <f t="shared" si="12"/>
        <v>0</v>
      </c>
      <c r="J54" s="416">
        <f t="shared" si="12"/>
        <v>72000</v>
      </c>
      <c r="K54" s="416">
        <f t="shared" si="12"/>
        <v>104096</v>
      </c>
      <c r="L54" s="416">
        <f t="shared" si="12"/>
        <v>104096</v>
      </c>
      <c r="M54" s="416">
        <f t="shared" si="12"/>
        <v>1400</v>
      </c>
      <c r="N54" s="416">
        <f t="shared" si="12"/>
        <v>150000</v>
      </c>
      <c r="O54" s="416">
        <f>SUM(O44:O53)</f>
        <v>150000</v>
      </c>
      <c r="P54" s="416">
        <f t="shared" ref="P54:U54" si="13">SUM(P44:P53)</f>
        <v>450000</v>
      </c>
      <c r="Q54" s="416">
        <f t="shared" si="13"/>
        <v>0</v>
      </c>
      <c r="R54" s="416">
        <f t="shared" si="13"/>
        <v>0</v>
      </c>
      <c r="S54" s="416">
        <f t="shared" si="13"/>
        <v>0</v>
      </c>
      <c r="T54" s="416">
        <f t="shared" si="13"/>
        <v>0</v>
      </c>
      <c r="U54" s="416">
        <f t="shared" si="13"/>
        <v>0</v>
      </c>
      <c r="V54" s="416">
        <f t="shared" si="12"/>
        <v>500000</v>
      </c>
      <c r="W54" s="416">
        <f t="shared" si="12"/>
        <v>300000</v>
      </c>
      <c r="X54" s="353"/>
      <c r="Y54" s="353"/>
    </row>
    <row r="55" spans="1:25" s="351" customFormat="1" ht="12" thickBot="1">
      <c r="A55" s="417"/>
      <c r="B55" s="418">
        <f>+B32+B43+B54</f>
        <v>99</v>
      </c>
      <c r="C55" s="419"/>
      <c r="D55" s="420">
        <f>+D32+D43+D54</f>
        <v>712020</v>
      </c>
      <c r="E55" s="421"/>
      <c r="F55" s="422">
        <f>+F32+F43+F54</f>
        <v>8283108</v>
      </c>
      <c r="G55" s="422">
        <f t="shared" ref="G55:U55" si="14">+G32+G43+G54</f>
        <v>121500</v>
      </c>
      <c r="H55" s="422">
        <f t="shared" si="14"/>
        <v>186000</v>
      </c>
      <c r="I55" s="422">
        <f t="shared" si="14"/>
        <v>1618800</v>
      </c>
      <c r="J55" s="422">
        <f t="shared" si="14"/>
        <v>420000</v>
      </c>
      <c r="K55" s="422">
        <f t="shared" si="14"/>
        <v>700384</v>
      </c>
      <c r="L55" s="422">
        <f t="shared" si="14"/>
        <v>700384</v>
      </c>
      <c r="M55" s="422">
        <f t="shared" si="14"/>
        <v>12400</v>
      </c>
      <c r="N55" s="422">
        <f t="shared" si="14"/>
        <v>696492</v>
      </c>
      <c r="O55" s="422">
        <f t="shared" si="14"/>
        <v>200000</v>
      </c>
      <c r="P55" s="422">
        <f t="shared" si="14"/>
        <v>1800000</v>
      </c>
      <c r="Q55" s="422">
        <f t="shared" si="14"/>
        <v>1860000</v>
      </c>
      <c r="R55" s="422">
        <f t="shared" si="14"/>
        <v>237600</v>
      </c>
      <c r="S55" s="422">
        <f t="shared" si="14"/>
        <v>900000</v>
      </c>
      <c r="T55" s="422">
        <f t="shared" si="14"/>
        <v>343200</v>
      </c>
      <c r="U55" s="422">
        <f t="shared" si="14"/>
        <v>1800000</v>
      </c>
      <c r="V55" s="422">
        <f>+V32+V43+V54</f>
        <v>1800000</v>
      </c>
      <c r="W55" s="423">
        <f>+W32+W43+W54</f>
        <v>975000</v>
      </c>
      <c r="X55" s="353"/>
      <c r="Y55" s="353"/>
    </row>
    <row r="56" spans="1:25" s="351" customFormat="1" ht="13.5" thickBot="1">
      <c r="A56" s="907" t="s">
        <v>85</v>
      </c>
      <c r="B56" s="908"/>
      <c r="C56" s="908"/>
      <c r="D56" s="908"/>
      <c r="E56" s="908"/>
      <c r="F56" s="908"/>
      <c r="G56" s="908"/>
      <c r="H56" s="908"/>
      <c r="I56" s="908"/>
      <c r="J56" s="908"/>
      <c r="K56" s="908"/>
      <c r="L56" s="908"/>
      <c r="M56" s="908"/>
      <c r="N56" s="908"/>
      <c r="O56" s="908"/>
      <c r="P56" s="908"/>
      <c r="Q56" s="908"/>
      <c r="R56" s="908"/>
      <c r="S56" s="908"/>
      <c r="T56" s="908"/>
      <c r="U56" s="908"/>
      <c r="V56" s="909"/>
      <c r="W56" s="579">
        <f>W55+V55+U55+T55+S55+R55+Q55+P55+O55+N55+M55+L55+K55+J55+I55+H55+G55+F55</f>
        <v>22654868</v>
      </c>
      <c r="X56" s="353"/>
      <c r="Y56" s="353"/>
    </row>
    <row r="57" spans="1:25" s="351" customFormat="1" ht="11.25">
      <c r="C57" s="355"/>
      <c r="D57" s="353"/>
      <c r="F57" s="353"/>
      <c r="G57" s="353"/>
      <c r="H57" s="353"/>
      <c r="I57" s="353"/>
      <c r="J57" s="353"/>
      <c r="K57" s="353"/>
      <c r="L57" s="353"/>
      <c r="M57" s="353"/>
      <c r="N57" s="353"/>
      <c r="O57" s="353"/>
      <c r="P57" s="353"/>
      <c r="Q57" s="353"/>
      <c r="R57" s="353"/>
      <c r="S57" s="353"/>
      <c r="T57" s="353"/>
      <c r="U57" s="353"/>
      <c r="V57" s="353"/>
      <c r="W57" s="353"/>
      <c r="X57" s="353"/>
      <c r="Y57" s="353"/>
    </row>
    <row r="58" spans="1:25" s="351" customFormat="1" ht="11.25">
      <c r="C58" s="355"/>
      <c r="D58" s="353"/>
      <c r="F58" s="353"/>
      <c r="G58" s="353"/>
      <c r="H58" s="353"/>
      <c r="I58" s="353"/>
      <c r="J58" s="353"/>
      <c r="K58" s="353"/>
      <c r="L58" s="353"/>
      <c r="M58" s="353"/>
      <c r="N58" s="353"/>
      <c r="O58" s="353"/>
      <c r="P58" s="353"/>
      <c r="Q58" s="353"/>
      <c r="R58" s="353"/>
      <c r="S58" s="353"/>
      <c r="T58" s="353"/>
      <c r="U58" s="353"/>
      <c r="V58" s="353"/>
      <c r="W58" s="353"/>
      <c r="X58" s="353"/>
      <c r="Y58" s="353"/>
    </row>
  </sheetData>
  <mergeCells count="10">
    <mergeCell ref="A2:H2"/>
    <mergeCell ref="A3:H3"/>
    <mergeCell ref="A4:H4"/>
    <mergeCell ref="F5:W5"/>
    <mergeCell ref="A56:V56"/>
    <mergeCell ref="A5:A6"/>
    <mergeCell ref="B5:B6"/>
    <mergeCell ref="C5:C6"/>
    <mergeCell ref="D5:D6"/>
    <mergeCell ref="E5:E6"/>
  </mergeCells>
  <printOptions horizontalCentered="1"/>
  <pageMargins left="0.7" right="0.7" top="0.75" bottom="0.75" header="0.3" footer="0.3"/>
  <pageSetup paperSize="17" scale="4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60" zoomScaleNormal="130" workbookViewId="0">
      <selection activeCell="E12" sqref="E12"/>
    </sheetView>
  </sheetViews>
  <sheetFormatPr baseColWidth="10" defaultRowHeight="15"/>
  <cols>
    <col min="1" max="1" width="41" customWidth="1"/>
    <col min="2" max="2" width="13.42578125" customWidth="1"/>
    <col min="3" max="3" width="12.140625" customWidth="1"/>
    <col min="4" max="4" width="17.42578125" customWidth="1"/>
    <col min="5" max="6" width="12.5703125" bestFit="1" customWidth="1"/>
    <col min="7" max="7" width="14.5703125" customWidth="1"/>
    <col min="8" max="8" width="12.5703125" bestFit="1" customWidth="1"/>
    <col min="9" max="9" width="14.140625" bestFit="1" customWidth="1"/>
    <col min="10" max="11" width="11.7109375" bestFit="1" customWidth="1"/>
    <col min="12" max="12" width="13.140625" bestFit="1" customWidth="1"/>
    <col min="13" max="13" width="13.140625" customWidth="1"/>
    <col min="15" max="15" width="14" customWidth="1"/>
  </cols>
  <sheetData>
    <row r="1" spans="1:16" s="150" customFormat="1" ht="12.75">
      <c r="A1" s="927" t="s">
        <v>25</v>
      </c>
      <c r="B1" s="927"/>
      <c r="C1" s="927"/>
      <c r="D1" s="927"/>
      <c r="E1" s="927"/>
      <c r="F1" s="927"/>
      <c r="G1" s="927"/>
      <c r="H1" s="927"/>
      <c r="I1" s="927"/>
      <c r="J1" s="927"/>
      <c r="K1" s="927"/>
      <c r="L1" s="927"/>
      <c r="M1" s="270"/>
      <c r="N1" s="270"/>
      <c r="O1" s="270"/>
    </row>
    <row r="2" spans="1:16" s="150" customFormat="1" ht="15.75" customHeight="1">
      <c r="A2" s="928" t="s">
        <v>26</v>
      </c>
      <c r="B2" s="928"/>
      <c r="C2" s="928"/>
      <c r="D2" s="928"/>
      <c r="E2" s="928"/>
      <c r="F2" s="928"/>
      <c r="G2" s="928"/>
      <c r="H2" s="928"/>
      <c r="I2" s="928"/>
      <c r="J2" s="928"/>
      <c r="K2" s="928"/>
      <c r="L2" s="928"/>
      <c r="M2" s="270"/>
      <c r="N2" s="270"/>
      <c r="O2" s="270"/>
    </row>
    <row r="3" spans="1:16" s="150" customFormat="1" ht="15.75" customHeight="1">
      <c r="A3" s="928" t="s">
        <v>88</v>
      </c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270"/>
      <c r="N3" s="270"/>
      <c r="O3" s="270"/>
    </row>
    <row r="4" spans="1:16" s="150" customFormat="1" ht="13.5" thickBot="1">
      <c r="A4" s="929" t="s">
        <v>28</v>
      </c>
      <c r="B4" s="929"/>
      <c r="C4" s="929"/>
      <c r="D4" s="929"/>
      <c r="E4" s="929"/>
      <c r="F4" s="929"/>
      <c r="G4" s="929"/>
      <c r="H4" s="929"/>
      <c r="I4" s="929"/>
      <c r="J4" s="929"/>
      <c r="K4" s="929"/>
      <c r="L4" s="929"/>
      <c r="M4" s="270"/>
      <c r="N4" s="270"/>
      <c r="O4" s="270"/>
    </row>
    <row r="5" spans="1:16" s="150" customFormat="1" ht="12.75">
      <c r="A5" s="923" t="s">
        <v>462</v>
      </c>
      <c r="B5" s="930" t="s">
        <v>36</v>
      </c>
      <c r="C5" s="925" t="s">
        <v>37</v>
      </c>
      <c r="D5" s="932" t="s">
        <v>38</v>
      </c>
      <c r="E5" s="934" t="s">
        <v>968</v>
      </c>
      <c r="F5" s="935"/>
      <c r="G5" s="935"/>
      <c r="H5" s="935"/>
      <c r="I5" s="935"/>
      <c r="J5" s="935"/>
      <c r="K5" s="935"/>
      <c r="L5" s="935"/>
      <c r="M5" s="935"/>
      <c r="N5" s="935"/>
      <c r="O5" s="936"/>
    </row>
    <row r="6" spans="1:16" s="150" customFormat="1" ht="13.5" thickBot="1">
      <c r="A6" s="924"/>
      <c r="B6" s="931"/>
      <c r="C6" s="926"/>
      <c r="D6" s="933"/>
      <c r="E6" s="704">
        <v>21</v>
      </c>
      <c r="F6" s="704">
        <v>22</v>
      </c>
      <c r="G6" s="704">
        <v>26</v>
      </c>
      <c r="H6" s="704">
        <v>27</v>
      </c>
      <c r="I6" s="704">
        <v>29</v>
      </c>
      <c r="J6" s="704">
        <v>71</v>
      </c>
      <c r="K6" s="704">
        <v>72</v>
      </c>
      <c r="L6" s="704">
        <v>73</v>
      </c>
      <c r="M6" s="705">
        <v>413</v>
      </c>
      <c r="N6" s="705">
        <v>415</v>
      </c>
      <c r="O6" s="706">
        <v>133</v>
      </c>
    </row>
    <row r="7" spans="1:16" s="24" customFormat="1" ht="11.25">
      <c r="A7" s="274" t="s">
        <v>59</v>
      </c>
      <c r="B7" s="275">
        <v>1</v>
      </c>
      <c r="C7" s="283">
        <v>25000</v>
      </c>
      <c r="D7" s="276" t="s">
        <v>32</v>
      </c>
      <c r="E7" s="285"/>
      <c r="F7" s="283">
        <v>300000</v>
      </c>
      <c r="G7" s="283">
        <v>4500</v>
      </c>
      <c r="H7" s="283">
        <v>3000</v>
      </c>
      <c r="I7" s="285"/>
      <c r="J7" s="283">
        <v>25375</v>
      </c>
      <c r="K7" s="283">
        <v>25375</v>
      </c>
      <c r="L7" s="283">
        <v>200</v>
      </c>
      <c r="M7" s="285"/>
      <c r="N7" s="285"/>
      <c r="O7" s="286"/>
      <c r="P7" s="287"/>
    </row>
    <row r="8" spans="1:16" s="24" customFormat="1" ht="11.25">
      <c r="A8" s="277" t="s">
        <v>61</v>
      </c>
      <c r="B8" s="273">
        <v>1</v>
      </c>
      <c r="C8" s="284">
        <v>15500</v>
      </c>
      <c r="D8" s="271" t="s">
        <v>32</v>
      </c>
      <c r="E8" s="288"/>
      <c r="F8" s="284">
        <v>186000</v>
      </c>
      <c r="G8" s="288"/>
      <c r="H8" s="284">
        <v>3000</v>
      </c>
      <c r="I8" s="288"/>
      <c r="J8" s="284">
        <v>15500</v>
      </c>
      <c r="K8" s="284">
        <v>15500</v>
      </c>
      <c r="L8" s="284">
        <v>200</v>
      </c>
      <c r="M8" s="288"/>
      <c r="N8" s="288"/>
      <c r="O8" s="289"/>
      <c r="P8" s="287"/>
    </row>
    <row r="9" spans="1:16" s="24" customFormat="1" ht="11.25">
      <c r="A9" s="277" t="s">
        <v>89</v>
      </c>
      <c r="B9" s="273">
        <v>1</v>
      </c>
      <c r="C9" s="284">
        <v>9387</v>
      </c>
      <c r="D9" s="271" t="s">
        <v>32</v>
      </c>
      <c r="E9" s="284">
        <v>112644</v>
      </c>
      <c r="F9" s="288"/>
      <c r="G9" s="631">
        <v>4500</v>
      </c>
      <c r="H9" s="284">
        <v>27000</v>
      </c>
      <c r="I9" s="288"/>
      <c r="J9" s="284">
        <v>11387</v>
      </c>
      <c r="K9" s="284">
        <v>11387</v>
      </c>
      <c r="L9" s="284">
        <v>200</v>
      </c>
      <c r="M9" s="288"/>
      <c r="N9" s="288"/>
      <c r="O9" s="289"/>
      <c r="P9" s="287"/>
    </row>
    <row r="10" spans="1:16" s="24" customFormat="1" ht="11.25">
      <c r="A10" s="277" t="s">
        <v>90</v>
      </c>
      <c r="B10" s="273">
        <v>1</v>
      </c>
      <c r="C10" s="284">
        <v>7250</v>
      </c>
      <c r="D10" s="271" t="s">
        <v>32</v>
      </c>
      <c r="E10" s="284">
        <v>87000</v>
      </c>
      <c r="F10" s="288"/>
      <c r="G10" s="631">
        <v>4500</v>
      </c>
      <c r="H10" s="284">
        <v>27000</v>
      </c>
      <c r="I10" s="288"/>
      <c r="J10" s="284">
        <v>9625</v>
      </c>
      <c r="K10" s="284">
        <v>9625</v>
      </c>
      <c r="L10" s="284">
        <v>200</v>
      </c>
      <c r="M10" s="288"/>
      <c r="N10" s="288"/>
      <c r="O10" s="289"/>
      <c r="P10" s="287"/>
    </row>
    <row r="11" spans="1:16" s="24" customFormat="1" ht="11.25">
      <c r="A11" s="277" t="s">
        <v>91</v>
      </c>
      <c r="B11" s="273">
        <v>1</v>
      </c>
      <c r="C11" s="284">
        <v>6000</v>
      </c>
      <c r="D11" s="271" t="s">
        <v>32</v>
      </c>
      <c r="E11" s="284">
        <v>72000</v>
      </c>
      <c r="F11" s="288"/>
      <c r="G11" s="288"/>
      <c r="H11" s="284">
        <v>27000</v>
      </c>
      <c r="I11" s="288"/>
      <c r="J11" s="284">
        <v>8000</v>
      </c>
      <c r="K11" s="284">
        <v>8000</v>
      </c>
      <c r="L11" s="284">
        <v>200</v>
      </c>
      <c r="M11" s="288"/>
      <c r="N11" s="288"/>
      <c r="O11" s="289"/>
      <c r="P11" s="287"/>
    </row>
    <row r="12" spans="1:16" s="24" customFormat="1" ht="11.25">
      <c r="A12" s="277" t="s">
        <v>92</v>
      </c>
      <c r="B12" s="273">
        <v>1</v>
      </c>
      <c r="C12" s="284">
        <v>5011</v>
      </c>
      <c r="D12" s="271" t="s">
        <v>32</v>
      </c>
      <c r="E12" s="284">
        <v>60132</v>
      </c>
      <c r="F12" s="288"/>
      <c r="G12" s="288"/>
      <c r="H12" s="284">
        <v>15000</v>
      </c>
      <c r="I12" s="288"/>
      <c r="J12" s="284">
        <v>6011</v>
      </c>
      <c r="K12" s="284">
        <v>6011</v>
      </c>
      <c r="L12" s="284">
        <v>200</v>
      </c>
      <c r="M12" s="288"/>
      <c r="N12" s="288"/>
      <c r="O12" s="289"/>
      <c r="P12" s="287"/>
    </row>
    <row r="13" spans="1:16" s="24" customFormat="1" ht="11.25">
      <c r="A13" s="277" t="s">
        <v>52</v>
      </c>
      <c r="B13" s="273">
        <v>1</v>
      </c>
      <c r="C13" s="284">
        <v>3200</v>
      </c>
      <c r="D13" s="271" t="s">
        <v>32</v>
      </c>
      <c r="E13" s="284">
        <v>38400</v>
      </c>
      <c r="F13" s="288"/>
      <c r="G13" s="288"/>
      <c r="H13" s="284">
        <v>21000</v>
      </c>
      <c r="I13" s="288"/>
      <c r="J13" s="284">
        <v>4700</v>
      </c>
      <c r="K13" s="284">
        <v>4700</v>
      </c>
      <c r="L13" s="284">
        <v>200</v>
      </c>
      <c r="M13" s="288"/>
      <c r="N13" s="288"/>
      <c r="O13" s="289"/>
      <c r="P13" s="287"/>
    </row>
    <row r="14" spans="1:16" s="24" customFormat="1" ht="11.25">
      <c r="A14" s="277" t="s">
        <v>93</v>
      </c>
      <c r="B14" s="273">
        <v>1</v>
      </c>
      <c r="C14" s="284">
        <v>2600</v>
      </c>
      <c r="D14" s="271" t="s">
        <v>32</v>
      </c>
      <c r="E14" s="284">
        <v>31200</v>
      </c>
      <c r="F14" s="288"/>
      <c r="G14" s="288"/>
      <c r="H14" s="284">
        <v>21000</v>
      </c>
      <c r="I14" s="288"/>
      <c r="J14" s="284">
        <v>4100</v>
      </c>
      <c r="K14" s="284">
        <v>4100</v>
      </c>
      <c r="L14" s="284">
        <v>200</v>
      </c>
      <c r="M14" s="288"/>
      <c r="N14" s="288"/>
      <c r="O14" s="289"/>
      <c r="P14" s="287"/>
    </row>
    <row r="15" spans="1:16" s="24" customFormat="1" ht="11.25">
      <c r="A15" s="277" t="s">
        <v>94</v>
      </c>
      <c r="B15" s="273">
        <v>1</v>
      </c>
      <c r="C15" s="284">
        <v>2600</v>
      </c>
      <c r="D15" s="271" t="s">
        <v>32</v>
      </c>
      <c r="E15" s="284">
        <v>31200</v>
      </c>
      <c r="F15" s="288"/>
      <c r="G15" s="288"/>
      <c r="H15" s="284">
        <v>21000</v>
      </c>
      <c r="I15" s="288"/>
      <c r="J15" s="284">
        <v>4100</v>
      </c>
      <c r="K15" s="284">
        <v>4100</v>
      </c>
      <c r="L15" s="284">
        <v>200</v>
      </c>
      <c r="M15" s="288"/>
      <c r="N15" s="288"/>
      <c r="O15" s="289"/>
      <c r="P15" s="287"/>
    </row>
    <row r="16" spans="1:16" s="24" customFormat="1" ht="11.25">
      <c r="A16" s="277" t="s">
        <v>95</v>
      </c>
      <c r="B16" s="273">
        <v>1</v>
      </c>
      <c r="C16" s="284">
        <v>2600</v>
      </c>
      <c r="D16" s="271" t="s">
        <v>32</v>
      </c>
      <c r="E16" s="284">
        <v>31200</v>
      </c>
      <c r="F16" s="288"/>
      <c r="G16" s="288"/>
      <c r="H16" s="284">
        <v>21000</v>
      </c>
      <c r="I16" s="288"/>
      <c r="J16" s="284">
        <v>4100</v>
      </c>
      <c r="K16" s="284">
        <v>4100</v>
      </c>
      <c r="L16" s="284">
        <v>200</v>
      </c>
      <c r="M16" s="288"/>
      <c r="N16" s="288"/>
      <c r="O16" s="289"/>
      <c r="P16" s="287"/>
    </row>
    <row r="17" spans="1:16" s="24" customFormat="1" ht="11.25">
      <c r="A17" s="277" t="s">
        <v>66</v>
      </c>
      <c r="B17" s="273">
        <v>1</v>
      </c>
      <c r="C17" s="284">
        <v>1900</v>
      </c>
      <c r="D17" s="271" t="s">
        <v>32</v>
      </c>
      <c r="E17" s="284">
        <v>22800</v>
      </c>
      <c r="F17" s="288"/>
      <c r="G17" s="288"/>
      <c r="H17" s="284">
        <v>21000</v>
      </c>
      <c r="I17" s="288"/>
      <c r="J17" s="284">
        <v>3400</v>
      </c>
      <c r="K17" s="284">
        <v>3400</v>
      </c>
      <c r="L17" s="284">
        <v>200</v>
      </c>
      <c r="M17" s="288"/>
      <c r="N17" s="288"/>
      <c r="O17" s="289"/>
      <c r="P17" s="287"/>
    </row>
    <row r="18" spans="1:16" s="24" customFormat="1" ht="11.25">
      <c r="A18" s="277" t="s">
        <v>96</v>
      </c>
      <c r="B18" s="273">
        <v>70</v>
      </c>
      <c r="C18" s="271"/>
      <c r="D18" s="271"/>
      <c r="E18" s="288"/>
      <c r="F18" s="288"/>
      <c r="G18" s="288"/>
      <c r="H18" s="288"/>
      <c r="I18" s="284">
        <v>4510000</v>
      </c>
      <c r="J18" s="288"/>
      <c r="K18" s="288"/>
      <c r="L18" s="288"/>
      <c r="M18" s="288"/>
      <c r="N18" s="288"/>
      <c r="O18" s="289"/>
      <c r="P18" s="287"/>
    </row>
    <row r="19" spans="1:16" s="24" customFormat="1" ht="11.25">
      <c r="A19" s="272" t="s">
        <v>963</v>
      </c>
      <c r="B19" s="271"/>
      <c r="C19" s="271"/>
      <c r="D19" s="271"/>
      <c r="E19" s="288"/>
      <c r="F19" s="288"/>
      <c r="G19" s="288"/>
      <c r="H19" s="288"/>
      <c r="I19" s="284"/>
      <c r="J19" s="288"/>
      <c r="K19" s="288"/>
      <c r="L19" s="288"/>
      <c r="M19" s="290">
        <v>200000</v>
      </c>
      <c r="N19" s="288"/>
      <c r="O19" s="289"/>
      <c r="P19" s="287"/>
    </row>
    <row r="20" spans="1:16" s="24" customFormat="1" ht="11.25">
      <c r="A20" s="272" t="s">
        <v>964</v>
      </c>
      <c r="B20" s="271"/>
      <c r="C20" s="271"/>
      <c r="D20" s="271"/>
      <c r="E20" s="288"/>
      <c r="F20" s="288"/>
      <c r="G20" s="288"/>
      <c r="H20" s="288"/>
      <c r="I20" s="284"/>
      <c r="J20" s="288"/>
      <c r="K20" s="288"/>
      <c r="L20" s="288"/>
      <c r="M20" s="288"/>
      <c r="N20" s="290">
        <v>60000</v>
      </c>
      <c r="O20" s="289"/>
      <c r="P20" s="287"/>
    </row>
    <row r="21" spans="1:16" s="149" customFormat="1" ht="11.25">
      <c r="A21" s="272" t="s">
        <v>967</v>
      </c>
      <c r="B21" s="271"/>
      <c r="C21" s="271"/>
      <c r="D21" s="271"/>
      <c r="E21" s="288"/>
      <c r="F21" s="288"/>
      <c r="G21" s="288"/>
      <c r="H21" s="288"/>
      <c r="I21" s="284"/>
      <c r="J21" s="288"/>
      <c r="K21" s="288"/>
      <c r="L21" s="288"/>
      <c r="M21" s="291"/>
      <c r="N21" s="291"/>
      <c r="O21" s="292">
        <v>72000</v>
      </c>
      <c r="P21" s="293"/>
    </row>
    <row r="22" spans="1:16" s="149" customFormat="1" ht="12" thickBot="1">
      <c r="A22" s="278"/>
      <c r="B22" s="279">
        <f>SUM(B7:B21)</f>
        <v>81</v>
      </c>
      <c r="C22" s="279"/>
      <c r="D22" s="279"/>
      <c r="E22" s="294"/>
      <c r="F22" s="294"/>
      <c r="G22" s="294"/>
      <c r="H22" s="294"/>
      <c r="I22" s="295"/>
      <c r="J22" s="294"/>
      <c r="K22" s="294"/>
      <c r="L22" s="294"/>
      <c r="M22" s="296"/>
      <c r="N22" s="296"/>
      <c r="O22" s="297"/>
      <c r="P22" s="293"/>
    </row>
    <row r="23" spans="1:16" s="149" customFormat="1" ht="12" thickBot="1">
      <c r="A23" s="918"/>
      <c r="B23" s="919"/>
      <c r="C23" s="919"/>
      <c r="D23" s="919"/>
      <c r="E23" s="280">
        <f t="shared" ref="E23:M23" si="0">SUM(E7:E22)</f>
        <v>486576</v>
      </c>
      <c r="F23" s="280">
        <f t="shared" si="0"/>
        <v>486000</v>
      </c>
      <c r="G23" s="280">
        <f t="shared" si="0"/>
        <v>13500</v>
      </c>
      <c r="H23" s="280">
        <f t="shared" si="0"/>
        <v>207000</v>
      </c>
      <c r="I23" s="280">
        <f t="shared" si="0"/>
        <v>4510000</v>
      </c>
      <c r="J23" s="280">
        <f t="shared" si="0"/>
        <v>96298</v>
      </c>
      <c r="K23" s="280">
        <f t="shared" si="0"/>
        <v>96298</v>
      </c>
      <c r="L23" s="280">
        <f t="shared" si="0"/>
        <v>2200</v>
      </c>
      <c r="M23" s="280">
        <f t="shared" si="0"/>
        <v>200000</v>
      </c>
      <c r="N23" s="281">
        <v>60000</v>
      </c>
      <c r="O23" s="282">
        <v>72000</v>
      </c>
    </row>
    <row r="24" spans="1:16" s="149" customFormat="1" ht="15.75" customHeight="1" thickBot="1">
      <c r="A24" s="920" t="s">
        <v>85</v>
      </c>
      <c r="B24" s="921"/>
      <c r="C24" s="921"/>
      <c r="D24" s="921"/>
      <c r="E24" s="921"/>
      <c r="F24" s="921"/>
      <c r="G24" s="921"/>
      <c r="H24" s="921"/>
      <c r="I24" s="921"/>
      <c r="J24" s="921"/>
      <c r="K24" s="921"/>
      <c r="L24" s="921"/>
      <c r="M24" s="921"/>
      <c r="N24" s="922"/>
      <c r="O24" s="632">
        <f>O23+N23+M23+L23+K23+J23+I23+H23+G23+F23+E23</f>
        <v>6229872</v>
      </c>
    </row>
    <row r="25" spans="1:16" s="149" customFormat="1" ht="15.75" customHeight="1"/>
    <row r="26" spans="1:16">
      <c r="L26" s="269"/>
    </row>
    <row r="27" spans="1:16">
      <c r="L27" s="307"/>
    </row>
  </sheetData>
  <mergeCells count="11">
    <mergeCell ref="A23:D23"/>
    <mergeCell ref="A24:N24"/>
    <mergeCell ref="A5:A6"/>
    <mergeCell ref="C5:C6"/>
    <mergeCell ref="A1:L1"/>
    <mergeCell ref="A2:L2"/>
    <mergeCell ref="A3:L3"/>
    <mergeCell ref="A4:L4"/>
    <mergeCell ref="B5:B6"/>
    <mergeCell ref="D5:D6"/>
    <mergeCell ref="E5:O5"/>
  </mergeCells>
  <pageMargins left="0.7" right="0.7" top="0.75" bottom="0.75" header="0.3" footer="0.3"/>
  <pageSetup paperSize="17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DS</vt:lpstr>
      <vt:lpstr>DGC</vt:lpstr>
      <vt:lpstr>COVIAL</vt:lpstr>
      <vt:lpstr>TRANSPORTES</vt:lpstr>
      <vt:lpstr>DGAC</vt:lpstr>
      <vt:lpstr>UCEE</vt:lpstr>
      <vt:lpstr>TGW</vt:lpstr>
      <vt:lpstr>SIT</vt:lpstr>
      <vt:lpstr>CORREOS</vt:lpstr>
      <vt:lpstr>UNCOSU</vt:lpstr>
      <vt:lpstr>FONDETEL</vt:lpstr>
      <vt:lpstr>INSIVUMEH</vt:lpstr>
      <vt:lpstr>PROVIAL</vt:lpstr>
      <vt:lpstr>UDEVIPO</vt:lpstr>
      <vt:lpstr>FOPAVI</vt:lpstr>
      <vt:lpstr>FSS</vt:lpstr>
      <vt:lpstr>DS!Área_de_impresión</vt:lpstr>
      <vt:lpstr>COVIAL!Títulos_a_imprimir</vt:lpstr>
      <vt:lpstr>DGAC!Títulos_a_imprimir</vt:lpstr>
      <vt:lpstr>DGC!Títulos_a_imprimir</vt:lpstr>
      <vt:lpstr>DS!Títulos_a_imprimir</vt:lpstr>
      <vt:lpstr>FONDETEL!Títulos_a_imprimir</vt:lpstr>
      <vt:lpstr>FOPAVI!Títulos_a_imprimir</vt:lpstr>
      <vt:lpstr>FSS!Títulos_a_imprimir</vt:lpstr>
      <vt:lpstr>INSIVUMEH!Títulos_a_imprimir</vt:lpstr>
      <vt:lpstr>PROVIAL!Títulos_a_imprimir</vt:lpstr>
      <vt:lpstr>SIT!Títulos_a_imprimir</vt:lpstr>
      <vt:lpstr>TGW!Títulos_a_imprimir</vt:lpstr>
      <vt:lpstr>TRANSPORTES!Títulos_a_imprimir</vt:lpstr>
      <vt:lpstr>UCEE!Títulos_a_imprimir</vt:lpstr>
      <vt:lpstr>UDEVIPO!Títulos_a_imprimir</vt:lpstr>
      <vt:lpstr>UNCOSU!Títulos_a_imprimir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</dc:creator>
  <cp:lastModifiedBy>Heidy Moscoso</cp:lastModifiedBy>
  <cp:lastPrinted>2016-05-06T20:46:58Z</cp:lastPrinted>
  <dcterms:created xsi:type="dcterms:W3CDTF">2016-03-30T19:29:23Z</dcterms:created>
  <dcterms:modified xsi:type="dcterms:W3CDTF">2016-05-06T21:40:51Z</dcterms:modified>
</cp:coreProperties>
</file>